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316" sheetId="1" r:id="rId1"/>
  </sheets>
  <definedNames>
    <definedName name="_xlnm._FilterDatabase" localSheetId="0" hidden="1">'316'!$A$3:$I$355</definedName>
    <definedName name="_xlnm.Print_Titles" localSheetId="0">'316'!$2:$3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<sst xmlns="http://schemas.openxmlformats.org/spreadsheetml/2006/main" count="1515" uniqueCount="385">
  <si>
    <t>附件3</t>
  </si>
  <si>
    <t>伊金霍洛旗公立医院自主招聘卫生专业人员总成绩及进入体检考察范围人员名单</t>
  </si>
  <si>
    <t>岗位
代码</t>
  </si>
  <si>
    <t>岗位名称</t>
  </si>
  <si>
    <t>招聘单位</t>
  </si>
  <si>
    <t>姓名</t>
  </si>
  <si>
    <t>准考证号</t>
  </si>
  <si>
    <t>抽签号</t>
  </si>
  <si>
    <t>蒙古语言文字翻译水平加试成绩</t>
  </si>
  <si>
    <t>面试成绩</t>
  </si>
  <si>
    <t>是否进入体检
考察范围</t>
  </si>
  <si>
    <t>301</t>
  </si>
  <si>
    <t>护理岗位</t>
  </si>
  <si>
    <t>伊金霍洛旗妇幼保健院</t>
  </si>
  <si>
    <t>李春梅</t>
  </si>
  <si>
    <t>24301020107</t>
  </si>
  <si>
    <t>是</t>
  </si>
  <si>
    <t>王昊宇</t>
  </si>
  <si>
    <t>24301020109</t>
  </si>
  <si>
    <t>李娜</t>
  </si>
  <si>
    <t>24301020102</t>
  </si>
  <si>
    <t>陈建林</t>
  </si>
  <si>
    <t>24301020106</t>
  </si>
  <si>
    <t>祁艳丽</t>
  </si>
  <si>
    <t>24301020111</t>
  </si>
  <si>
    <t>张娜</t>
  </si>
  <si>
    <t>24301020112</t>
  </si>
  <si>
    <t>苏建华</t>
  </si>
  <si>
    <t>24301020114</t>
  </si>
  <si>
    <t>袁楚轩</t>
  </si>
  <si>
    <t>24301020105</t>
  </si>
  <si>
    <t>孟彩霞</t>
  </si>
  <si>
    <t>24301020104</t>
  </si>
  <si>
    <t>否</t>
  </si>
  <si>
    <t>乔羽</t>
  </si>
  <si>
    <t>24301020108</t>
  </si>
  <si>
    <t>杨花</t>
  </si>
  <si>
    <t>24301020113</t>
  </si>
  <si>
    <t>侯慧</t>
  </si>
  <si>
    <t>24301020110</t>
  </si>
  <si>
    <t>李诗雨</t>
  </si>
  <si>
    <t>24301020101</t>
  </si>
  <si>
    <t>高莉</t>
  </si>
  <si>
    <t>24301020115</t>
  </si>
  <si>
    <t>张羽婷</t>
  </si>
  <si>
    <t>24301020103</t>
  </si>
  <si>
    <t>超声岗位</t>
  </si>
  <si>
    <t>303</t>
  </si>
  <si>
    <t>妇产科岗位</t>
  </si>
  <si>
    <t>沈国蛰</t>
  </si>
  <si>
    <t>24303020120</t>
  </si>
  <si>
    <t>乌日娜</t>
  </si>
  <si>
    <t>24303020121</t>
  </si>
  <si>
    <t>304</t>
  </si>
  <si>
    <t>儿科岗位</t>
  </si>
  <si>
    <t>耿建伟</t>
  </si>
  <si>
    <t>24304020122</t>
  </si>
  <si>
    <t>305</t>
  </si>
  <si>
    <t>急诊医学岗位</t>
  </si>
  <si>
    <t>伊金霍洛旗人民医院</t>
  </si>
  <si>
    <t>孟庆波</t>
  </si>
  <si>
    <t>24305020124</t>
  </si>
  <si>
    <t>宋宇飞</t>
  </si>
  <si>
    <t>24305020123</t>
  </si>
  <si>
    <t>乔占元</t>
  </si>
  <si>
    <t>24305020126</t>
  </si>
  <si>
    <t>王艳茹</t>
  </si>
  <si>
    <t>24305020127</t>
  </si>
  <si>
    <t>潘斯文</t>
  </si>
  <si>
    <t>24305020125</t>
  </si>
  <si>
    <t>307</t>
  </si>
  <si>
    <t>骨外科岗位</t>
  </si>
  <si>
    <t>崔鹏飞</t>
  </si>
  <si>
    <t>24307020129</t>
  </si>
  <si>
    <t>308</t>
  </si>
  <si>
    <t>泌尿外科岗位</t>
  </si>
  <si>
    <t>李洋</t>
  </si>
  <si>
    <t>24308020130</t>
  </si>
  <si>
    <t>309</t>
  </si>
  <si>
    <t>重症医学岗位</t>
  </si>
  <si>
    <t>游燕君</t>
  </si>
  <si>
    <t>24309020201</t>
  </si>
  <si>
    <t>310</t>
  </si>
  <si>
    <t>邬宏</t>
  </si>
  <si>
    <t>24310020206</t>
  </si>
  <si>
    <t>史艳婷</t>
  </si>
  <si>
    <t>24310020202</t>
  </si>
  <si>
    <t>王宇环</t>
  </si>
  <si>
    <t>24310020203</t>
  </si>
  <si>
    <t>闫启凤</t>
  </si>
  <si>
    <t>24310020204</t>
  </si>
  <si>
    <t>白慧</t>
  </si>
  <si>
    <t>24310020205</t>
  </si>
  <si>
    <t>311</t>
  </si>
  <si>
    <t>左璐</t>
  </si>
  <si>
    <t>24311020207</t>
  </si>
  <si>
    <t>314</t>
  </si>
  <si>
    <t>麻醉岗位</t>
  </si>
  <si>
    <t>吴海燕</t>
  </si>
  <si>
    <t>24314020208</t>
  </si>
  <si>
    <t>315</t>
  </si>
  <si>
    <t>消化内科岗位</t>
  </si>
  <si>
    <t>王翠</t>
  </si>
  <si>
    <t>24315020210</t>
  </si>
  <si>
    <t>316</t>
  </si>
  <si>
    <t>病理岗位</t>
  </si>
  <si>
    <t>赵嘉琪</t>
  </si>
  <si>
    <t>24316020211</t>
  </si>
  <si>
    <t>318</t>
  </si>
  <si>
    <t>口腔岗位</t>
  </si>
  <si>
    <t>杜红梅</t>
  </si>
  <si>
    <t>24318020213</t>
  </si>
  <si>
    <t>319</t>
  </si>
  <si>
    <t>病理技师岗位</t>
  </si>
  <si>
    <t>高成龙</t>
  </si>
  <si>
    <t>24319020214</t>
  </si>
  <si>
    <t>320</t>
  </si>
  <si>
    <t>中医岗位</t>
  </si>
  <si>
    <t>贺婷</t>
  </si>
  <si>
    <t>24320020217</t>
  </si>
  <si>
    <t>肖致远</t>
  </si>
  <si>
    <t>24320020215</t>
  </si>
  <si>
    <t>崔帅</t>
  </si>
  <si>
    <t>24320020216</t>
  </si>
  <si>
    <t>影像岗位</t>
  </si>
  <si>
    <t>影像岗位1</t>
  </si>
  <si>
    <t>324</t>
  </si>
  <si>
    <t>临床药学岗位</t>
  </si>
  <si>
    <t>郑科</t>
  </si>
  <si>
    <t>24324020228</t>
  </si>
  <si>
    <t>张强</t>
  </si>
  <si>
    <t>24324020227</t>
  </si>
  <si>
    <t>325</t>
  </si>
  <si>
    <t>药学岗位</t>
  </si>
  <si>
    <t>茹媛</t>
  </si>
  <si>
    <t>24325020304</t>
  </si>
  <si>
    <t>杨娜</t>
  </si>
  <si>
    <t>24325020305</t>
  </si>
  <si>
    <t>朱泽慧</t>
  </si>
  <si>
    <t>24325020301</t>
  </si>
  <si>
    <t>王禄</t>
  </si>
  <si>
    <t>24325020302</t>
  </si>
  <si>
    <t>冀亚琴</t>
  </si>
  <si>
    <t>24325020303</t>
  </si>
  <si>
    <t>刘亚如</t>
  </si>
  <si>
    <t>24325020230</t>
  </si>
  <si>
    <t>樊苗</t>
  </si>
  <si>
    <t>24325020229</t>
  </si>
  <si>
    <t>327</t>
  </si>
  <si>
    <t>蒙医岗位</t>
  </si>
  <si>
    <t>伊金霍洛旗蒙医综合医院</t>
  </si>
  <si>
    <t>乌东高娃</t>
  </si>
  <si>
    <t>24327020406</t>
  </si>
  <si>
    <t>孟克</t>
  </si>
  <si>
    <t>24327020407</t>
  </si>
  <si>
    <t>328</t>
  </si>
  <si>
    <t>传统疗术岗位</t>
  </si>
  <si>
    <t>阿迪娜</t>
  </si>
  <si>
    <t>24328020411</t>
  </si>
  <si>
    <t>乌云娜</t>
  </si>
  <si>
    <t>24328020412</t>
  </si>
  <si>
    <t>乌云巴图</t>
  </si>
  <si>
    <t>24328020409</t>
  </si>
  <si>
    <t>额定高娃</t>
  </si>
  <si>
    <t>24328020408</t>
  </si>
  <si>
    <t>苏勒德</t>
  </si>
  <si>
    <t>24328020410</t>
  </si>
  <si>
    <t xml:space="preserve"> 牧其尔</t>
  </si>
  <si>
    <t>24328020413</t>
  </si>
  <si>
    <t>329</t>
  </si>
  <si>
    <t>杨霞</t>
  </si>
  <si>
    <t>24329020430</t>
  </si>
  <si>
    <t>尚可意</t>
  </si>
  <si>
    <t>24329020519</t>
  </si>
  <si>
    <t>杨新澳</t>
  </si>
  <si>
    <t>24329020416</t>
  </si>
  <si>
    <t>王镜微</t>
  </si>
  <si>
    <t>24329020414</t>
  </si>
  <si>
    <t>李昕</t>
  </si>
  <si>
    <t>24329020515</t>
  </si>
  <si>
    <t>丁媛</t>
  </si>
  <si>
    <t>24329020425</t>
  </si>
  <si>
    <t>刘燕</t>
  </si>
  <si>
    <t>24329020523</t>
  </si>
  <si>
    <t>王帆帆</t>
  </si>
  <si>
    <t>24329020501</t>
  </si>
  <si>
    <t>王岳</t>
  </si>
  <si>
    <t>24329020420</t>
  </si>
  <si>
    <t>赵慧敏</t>
  </si>
  <si>
    <t>24329020419</t>
  </si>
  <si>
    <t>刘芳</t>
  </si>
  <si>
    <t>24329020428</t>
  </si>
  <si>
    <t>院玉凤</t>
  </si>
  <si>
    <t>24329020422</t>
  </si>
  <si>
    <t>王欣</t>
  </si>
  <si>
    <t>24329020507</t>
  </si>
  <si>
    <t>张小梅</t>
  </si>
  <si>
    <t>24329020514</t>
  </si>
  <si>
    <t>白艳梅</t>
  </si>
  <si>
    <t>24329020503</t>
  </si>
  <si>
    <t>杨乐</t>
  </si>
  <si>
    <t>24329020505</t>
  </si>
  <si>
    <t>苏艳</t>
  </si>
  <si>
    <t>24329020421</t>
  </si>
  <si>
    <t>袁慧</t>
  </si>
  <si>
    <t>24329020520</t>
  </si>
  <si>
    <t>陈瑞英</t>
  </si>
  <si>
    <t>24329020522</t>
  </si>
  <si>
    <t>马丽娜</t>
  </si>
  <si>
    <t>24329020427</t>
  </si>
  <si>
    <t>崔婷</t>
  </si>
  <si>
    <t>24329020508</t>
  </si>
  <si>
    <t>康娜</t>
  </si>
  <si>
    <t>24329020510</t>
  </si>
  <si>
    <t>李佳伟</t>
  </si>
  <si>
    <t>24329020516</t>
  </si>
  <si>
    <t>李煜霞</t>
  </si>
  <si>
    <t>24329020424</t>
  </si>
  <si>
    <t>牛旭</t>
  </si>
  <si>
    <t>24329020504</t>
  </si>
  <si>
    <t>史永艳</t>
  </si>
  <si>
    <t>24329020518</t>
  </si>
  <si>
    <t>靳春茹</t>
  </si>
  <si>
    <t>24329020426</t>
  </si>
  <si>
    <t>武丹</t>
  </si>
  <si>
    <t>24329020423</t>
  </si>
  <si>
    <t>王英</t>
  </si>
  <si>
    <t>24329020429</t>
  </si>
  <si>
    <t>王嘉曼</t>
  </si>
  <si>
    <t>24329020509</t>
  </si>
  <si>
    <t>张金莲</t>
  </si>
  <si>
    <t>24329020521</t>
  </si>
  <si>
    <t>武瑞</t>
  </si>
  <si>
    <t>24329020418</t>
  </si>
  <si>
    <t>高艳</t>
  </si>
  <si>
    <t>24329020502</t>
  </si>
  <si>
    <t>刘红霞</t>
  </si>
  <si>
    <t>24329020415</t>
  </si>
  <si>
    <t>秦丽</t>
  </si>
  <si>
    <t>24329020524</t>
  </si>
  <si>
    <t>孟小梅</t>
  </si>
  <si>
    <t>24329020513</t>
  </si>
  <si>
    <t>张彩霞</t>
  </si>
  <si>
    <t>24329020517</t>
  </si>
  <si>
    <t>王艳</t>
  </si>
  <si>
    <t>24329020525</t>
  </si>
  <si>
    <t>尹佳琪</t>
  </si>
  <si>
    <t>24329020417</t>
  </si>
  <si>
    <t>高智强</t>
  </si>
  <si>
    <t>24329020512</t>
  </si>
  <si>
    <t>杨阳</t>
  </si>
  <si>
    <t>24329020511</t>
  </si>
  <si>
    <t>高志鲜</t>
  </si>
  <si>
    <t>24329020506</t>
  </si>
  <si>
    <t>330</t>
  </si>
  <si>
    <t>“兼通蒙古语言文字”护理岗位</t>
  </si>
  <si>
    <t>叶世杰</t>
  </si>
  <si>
    <t>24330020527</t>
  </si>
  <si>
    <t>合格</t>
  </si>
  <si>
    <t>阿日贡其木格</t>
  </si>
  <si>
    <t>24330020602</t>
  </si>
  <si>
    <t>阿荣</t>
  </si>
  <si>
    <t>24330020530</t>
  </si>
  <si>
    <t>托亚</t>
  </si>
  <si>
    <t>24330020528</t>
  </si>
  <si>
    <t>哈斯格格</t>
  </si>
  <si>
    <t>24330020526</t>
  </si>
  <si>
    <t>依日贵</t>
  </si>
  <si>
    <t>24330020601</t>
  </si>
  <si>
    <t>和平</t>
  </si>
  <si>
    <t>24330020529</t>
  </si>
  <si>
    <t>不合格</t>
  </si>
  <si>
    <t>331</t>
  </si>
  <si>
    <t>药剂岗位</t>
  </si>
  <si>
    <t>呼峰</t>
  </si>
  <si>
    <t>24331020604</t>
  </si>
  <si>
    <t>李颖</t>
  </si>
  <si>
    <t>24331020607</t>
  </si>
  <si>
    <t>楼淑静</t>
  </si>
  <si>
    <t>24331020605</t>
  </si>
  <si>
    <t>332</t>
  </si>
  <si>
    <t>蒙药岗位</t>
  </si>
  <si>
    <t>阿米拉</t>
  </si>
  <si>
    <t>24332020609</t>
  </si>
  <si>
    <t>333</t>
  </si>
  <si>
    <t>临床岗位</t>
  </si>
  <si>
    <t>张宇</t>
  </si>
  <si>
    <t>24333020611</t>
  </si>
  <si>
    <t>高瑞芳</t>
  </si>
  <si>
    <t>24333020614</t>
  </si>
  <si>
    <t>马娜</t>
  </si>
  <si>
    <t>24333020612</t>
  </si>
  <si>
    <t>高江</t>
  </si>
  <si>
    <t>24333020610</t>
  </si>
  <si>
    <t>334</t>
  </si>
  <si>
    <t>中医科岗位</t>
  </si>
  <si>
    <t>奇园</t>
  </si>
  <si>
    <t>24334020615</t>
  </si>
  <si>
    <t>苏泽锋</t>
  </si>
  <si>
    <t>24334020616</t>
  </si>
  <si>
    <t>336</t>
  </si>
  <si>
    <t>伊金霍洛旗蒙医综合医院（旗招镇用）</t>
  </si>
  <si>
    <t>王金峰</t>
  </si>
  <si>
    <t>24336020625</t>
  </si>
  <si>
    <t>王慧</t>
  </si>
  <si>
    <t>24336020701</t>
  </si>
  <si>
    <t>杨菊艳</t>
  </si>
  <si>
    <t>24336020623</t>
  </si>
  <si>
    <t>刘娅妮</t>
  </si>
  <si>
    <t>24336020622</t>
  </si>
  <si>
    <t>贾顺</t>
  </si>
  <si>
    <t>24336020630</t>
  </si>
  <si>
    <t>王治刚</t>
  </si>
  <si>
    <t>24336020620</t>
  </si>
  <si>
    <t>周旭杰</t>
  </si>
  <si>
    <t>24336020617</t>
  </si>
  <si>
    <t>尚泽中</t>
  </si>
  <si>
    <t>24336020621</t>
  </si>
  <si>
    <t>侯明国</t>
  </si>
  <si>
    <t>24336020703</t>
  </si>
  <si>
    <t>李敏</t>
  </si>
  <si>
    <t>24336020627</t>
  </si>
  <si>
    <t>337</t>
  </si>
  <si>
    <t>李国强</t>
  </si>
  <si>
    <t>24337020705</t>
  </si>
  <si>
    <t>秦雨</t>
  </si>
  <si>
    <t>24337020712</t>
  </si>
  <si>
    <t>王俊平</t>
  </si>
  <si>
    <t>24337020710</t>
  </si>
  <si>
    <t>陈晓琴</t>
  </si>
  <si>
    <t>24337020707</t>
  </si>
  <si>
    <t>宋泽涛</t>
  </si>
  <si>
    <t>24337020704</t>
  </si>
  <si>
    <t>陈猛</t>
  </si>
  <si>
    <t>24337020708</t>
  </si>
  <si>
    <t>刘龙</t>
  </si>
  <si>
    <t>24337020711</t>
  </si>
  <si>
    <t>影像技师岗位</t>
  </si>
  <si>
    <t>影像医师岗位</t>
  </si>
  <si>
    <t>检验岗位</t>
  </si>
  <si>
    <t>卢悦瑞</t>
  </si>
  <si>
    <t>24341021020</t>
  </si>
  <si>
    <t>王婷</t>
  </si>
  <si>
    <t>24341021024</t>
  </si>
  <si>
    <t>任惠娟</t>
  </si>
  <si>
    <t>24341021015</t>
  </si>
  <si>
    <t>王淑玥</t>
  </si>
  <si>
    <t>24341021023</t>
  </si>
  <si>
    <t>刘鲜梅</t>
  </si>
  <si>
    <t>24341021018</t>
  </si>
  <si>
    <t>朱宇</t>
  </si>
  <si>
    <t>24341021017</t>
  </si>
  <si>
    <t>赵彩霞</t>
  </si>
  <si>
    <t>24341021014</t>
  </si>
  <si>
    <t>娜音苏都</t>
  </si>
  <si>
    <t>24341021019</t>
  </si>
  <si>
    <t>申玉霜</t>
  </si>
  <si>
    <t>24341021013</t>
  </si>
  <si>
    <t>王新月</t>
  </si>
  <si>
    <t>24342021025</t>
  </si>
  <si>
    <t>李阳</t>
  </si>
  <si>
    <t>24342021026</t>
  </si>
  <si>
    <t>苏箭</t>
  </si>
  <si>
    <t>24342021030</t>
  </si>
  <si>
    <t>杨黎</t>
  </si>
  <si>
    <t>24342021028</t>
  </si>
  <si>
    <t>朱海燕</t>
  </si>
  <si>
    <t>24342021027</t>
  </si>
  <si>
    <t>康复岗位</t>
  </si>
  <si>
    <t>郭晓宇</t>
  </si>
  <si>
    <t>24343021102</t>
  </si>
  <si>
    <t>王园</t>
  </si>
  <si>
    <t>24343021103</t>
  </si>
  <si>
    <t>345</t>
  </si>
  <si>
    <t>眼视光岗位</t>
  </si>
  <si>
    <t>刘阳</t>
  </si>
  <si>
    <t>24345021406</t>
  </si>
  <si>
    <t>贾江</t>
  </si>
  <si>
    <t>24345021403</t>
  </si>
  <si>
    <t>杨杨</t>
  </si>
  <si>
    <t>24345021404</t>
  </si>
  <si>
    <t>李雪花</t>
  </si>
  <si>
    <t>24345021405</t>
  </si>
  <si>
    <t>医共体基层
会计审计岗</t>
  </si>
  <si>
    <t>备注：面试原始成绩“-1”为缺考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</si>
</sst>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11"/>
      <name val="宋体"/>
      <charset val="134"/>
      <scheme val="minor"/>
    </font>
    <font>
      <sz val="12"/>
      <color theme="1"/>
      <name val="宋体"/>
      <charset val="134"/>
      <scheme val="minor"/>
    </font>
    <font>
      <sz val="20"/>
      <color theme="1"/>
      <name val="宋体"/>
      <charset val="134"/>
      <scheme val="minor"/>
    </font>
    <font>
      <b/>
      <sz val="11"/>
      <name val="宋体"/>
      <charset val="134"/>
      <scheme val="minor"/>
    </font>
    <font>
      <b/>
      <sz val="11"/>
      <color theme="1"/>
      <name val="宋体"/>
      <charset val="134"/>
      <scheme val="minor"/>
    </font>
    <font>
      <b/>
      <sz val="12"/>
      <color rgb="FFFF0000"/>
      <name val="宋体"/>
      <charset val="134"/>
      <scheme val="minor"/>
    </font>
    <font>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0" fillId="3" borderId="0" xfId="0" applyFill="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3"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wrapText="1"/>
    </xf>
    <xf numFmtId="0" fontId="0" fillId="3"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2"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shrinkToFit="1"/>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vertical="center"/>
    </xf>
    <xf numFmtId="176"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shrinkToFit="1"/>
    </xf>
    <xf numFmtId="0" fontId="6" fillId="0" borderId="0" xfId="0" applyFont="1" applyAlignment="1">
      <alignment vertical="center"/>
    </xf>
    <xf numFmtId="0" fontId="7"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55"/>
  <sheetViews>
    <sheetView tabSelected="1" workbookViewId="0">
      <selection activeCell="K356" sqref="K356"/>
    </sheetView>
  </sheetViews>
  <sheetFormatPr defaultColWidth="8.89166666666667" defaultRowHeight="13.5"/>
  <cols>
    <col min="1" max="1" width="7.25" style="4" customWidth="1"/>
    <col min="2" max="2" width="15.6333333333333" style="4" customWidth="1"/>
    <col min="3" max="3" width="23.3333333333333" style="5" customWidth="1"/>
    <col min="4" max="4" width="16.25" style="6" customWidth="1"/>
    <col min="5" max="5" width="16.25" style="4" customWidth="1"/>
    <col min="6" max="6" width="8.89166666666667" style="4"/>
    <col min="7" max="7" width="17.25" style="4" customWidth="1"/>
    <col min="8" max="8" width="8.89166666666667" style="4"/>
    <col min="9" max="9" width="16.625" style="4" customWidth="1"/>
    <col min="10" max="16384" width="8.89166666666667" style="4"/>
  </cols>
  <sheetData>
    <row r="1" ht="30" customHeight="1" spans="1:4">
      <c r="A1" s="7" t="s">
        <v>0</v>
      </c>
      <c r="B1" s="8"/>
      <c r="C1" s="9"/>
      <c r="D1" s="10"/>
    </row>
    <row r="2" ht="39" customHeight="1" spans="1:18">
      <c r="A2" s="11" t="s">
        <v>1</v>
      </c>
      <c r="B2" s="11"/>
      <c r="C2" s="11"/>
      <c r="D2" s="12"/>
      <c r="E2" s="11"/>
      <c r="F2" s="11"/>
      <c r="G2" s="11"/>
      <c r="H2" s="11"/>
      <c r="I2" s="11"/>
      <c r="R2" s="32"/>
    </row>
    <row r="3" ht="37" customHeight="1" spans="1:9">
      <c r="A3" s="13" t="s">
        <v>2</v>
      </c>
      <c r="B3" s="14" t="s">
        <v>3</v>
      </c>
      <c r="C3" s="13" t="s">
        <v>4</v>
      </c>
      <c r="D3" s="15" t="s">
        <v>5</v>
      </c>
      <c r="E3" s="14" t="s">
        <v>6</v>
      </c>
      <c r="F3" s="16" t="s">
        <v>7</v>
      </c>
      <c r="G3" s="17" t="s">
        <v>8</v>
      </c>
      <c r="H3" s="18" t="s">
        <v>9</v>
      </c>
      <c r="I3" s="30" t="s">
        <v>10</v>
      </c>
    </row>
    <row r="4" ht="30" customHeight="1" spans="1:9">
      <c r="A4" s="19" t="s">
        <v>11</v>
      </c>
      <c r="B4" s="20" t="s">
        <v>12</v>
      </c>
      <c r="C4" s="21" t="s">
        <v>13</v>
      </c>
      <c r="D4" s="22" t="s">
        <v>14</v>
      </c>
      <c r="E4" s="19" t="s">
        <v>15</v>
      </c>
      <c r="F4" s="19">
        <v>6</v>
      </c>
      <c r="G4" s="19"/>
      <c r="H4" s="23">
        <v>81.62</v>
      </c>
      <c r="I4" s="31" t="s">
        <v>16</v>
      </c>
    </row>
    <row r="5" ht="30" customHeight="1" spans="1:9">
      <c r="A5" s="19" t="s">
        <v>11</v>
      </c>
      <c r="B5" s="20" t="s">
        <v>12</v>
      </c>
      <c r="C5" s="21" t="s">
        <v>13</v>
      </c>
      <c r="D5" s="22" t="s">
        <v>17</v>
      </c>
      <c r="E5" s="19" t="s">
        <v>18</v>
      </c>
      <c r="F5" s="19">
        <v>46</v>
      </c>
      <c r="G5" s="19"/>
      <c r="H5" s="23">
        <v>81.02</v>
      </c>
      <c r="I5" s="31" t="s">
        <v>16</v>
      </c>
    </row>
    <row r="6" ht="30" customHeight="1" spans="1:9">
      <c r="A6" s="19" t="s">
        <v>11</v>
      </c>
      <c r="B6" s="20" t="s">
        <v>12</v>
      </c>
      <c r="C6" s="21" t="s">
        <v>13</v>
      </c>
      <c r="D6" s="22" t="s">
        <v>19</v>
      </c>
      <c r="E6" s="19" t="s">
        <v>20</v>
      </c>
      <c r="F6" s="19">
        <v>16</v>
      </c>
      <c r="G6" s="19"/>
      <c r="H6" s="23">
        <v>79.86</v>
      </c>
      <c r="I6" s="31" t="s">
        <v>16</v>
      </c>
    </row>
    <row r="7" ht="30" customHeight="1" spans="1:9">
      <c r="A7" s="19" t="s">
        <v>11</v>
      </c>
      <c r="B7" s="20" t="s">
        <v>12</v>
      </c>
      <c r="C7" s="21" t="s">
        <v>13</v>
      </c>
      <c r="D7" s="22" t="s">
        <v>21</v>
      </c>
      <c r="E7" s="19" t="s">
        <v>22</v>
      </c>
      <c r="F7" s="19">
        <v>27</v>
      </c>
      <c r="G7" s="19"/>
      <c r="H7" s="23">
        <v>79.36</v>
      </c>
      <c r="I7" s="31" t="s">
        <v>16</v>
      </c>
    </row>
    <row r="8" ht="30" customHeight="1" spans="1:9">
      <c r="A8" s="19" t="s">
        <v>11</v>
      </c>
      <c r="B8" s="20" t="s">
        <v>12</v>
      </c>
      <c r="C8" s="21" t="s">
        <v>13</v>
      </c>
      <c r="D8" s="22" t="s">
        <v>23</v>
      </c>
      <c r="E8" s="19" t="s">
        <v>24</v>
      </c>
      <c r="F8" s="19">
        <v>44</v>
      </c>
      <c r="G8" s="19"/>
      <c r="H8" s="23">
        <v>78.46</v>
      </c>
      <c r="I8" s="31" t="s">
        <v>16</v>
      </c>
    </row>
    <row r="9" ht="30" customHeight="1" spans="1:9">
      <c r="A9" s="19" t="s">
        <v>11</v>
      </c>
      <c r="B9" s="20" t="s">
        <v>12</v>
      </c>
      <c r="C9" s="21" t="s">
        <v>13</v>
      </c>
      <c r="D9" s="22" t="s">
        <v>25</v>
      </c>
      <c r="E9" s="19" t="s">
        <v>26</v>
      </c>
      <c r="F9" s="19">
        <v>54</v>
      </c>
      <c r="G9" s="19"/>
      <c r="H9" s="23">
        <v>78.42</v>
      </c>
      <c r="I9" s="31" t="s">
        <v>16</v>
      </c>
    </row>
    <row r="10" s="1" customFormat="1" ht="30" customHeight="1" spans="1:9">
      <c r="A10" s="19" t="s">
        <v>11</v>
      </c>
      <c r="B10" s="20" t="s">
        <v>12</v>
      </c>
      <c r="C10" s="21" t="s">
        <v>13</v>
      </c>
      <c r="D10" s="22" t="s">
        <v>27</v>
      </c>
      <c r="E10" s="19" t="s">
        <v>28</v>
      </c>
      <c r="F10" s="19">
        <v>60</v>
      </c>
      <c r="G10" s="19"/>
      <c r="H10" s="23">
        <v>78.26</v>
      </c>
      <c r="I10" s="31" t="s">
        <v>16</v>
      </c>
    </row>
    <row r="11" s="1" customFormat="1" ht="30" customHeight="1" spans="1:9">
      <c r="A11" s="19" t="s">
        <v>11</v>
      </c>
      <c r="B11" s="20" t="s">
        <v>12</v>
      </c>
      <c r="C11" s="21" t="s">
        <v>13</v>
      </c>
      <c r="D11" s="22" t="s">
        <v>29</v>
      </c>
      <c r="E11" s="19" t="s">
        <v>30</v>
      </c>
      <c r="F11" s="19">
        <v>14</v>
      </c>
      <c r="G11" s="19"/>
      <c r="H11" s="23">
        <v>77.92</v>
      </c>
      <c r="I11" s="31" t="s">
        <v>16</v>
      </c>
    </row>
    <row r="12" s="1" customFormat="1" ht="30" customHeight="1" spans="1:9">
      <c r="A12" s="19" t="s">
        <v>11</v>
      </c>
      <c r="B12" s="20" t="s">
        <v>12</v>
      </c>
      <c r="C12" s="21" t="s">
        <v>13</v>
      </c>
      <c r="D12" s="24" t="s">
        <v>31</v>
      </c>
      <c r="E12" s="19" t="s">
        <v>32</v>
      </c>
      <c r="F12" s="19">
        <v>45</v>
      </c>
      <c r="G12" s="19"/>
      <c r="H12" s="23">
        <v>77.8</v>
      </c>
      <c r="I12" s="19" t="s">
        <v>33</v>
      </c>
    </row>
    <row r="13" s="1" customFormat="1" ht="30" customHeight="1" spans="1:9">
      <c r="A13" s="19" t="s">
        <v>11</v>
      </c>
      <c r="B13" s="20" t="s">
        <v>12</v>
      </c>
      <c r="C13" s="21" t="s">
        <v>13</v>
      </c>
      <c r="D13" s="24" t="s">
        <v>34</v>
      </c>
      <c r="E13" s="19" t="s">
        <v>35</v>
      </c>
      <c r="F13" s="19">
        <v>39</v>
      </c>
      <c r="G13" s="19"/>
      <c r="H13" s="23">
        <v>77.36</v>
      </c>
      <c r="I13" s="19" t="s">
        <v>33</v>
      </c>
    </row>
    <row r="14" s="1" customFormat="1" ht="30" customHeight="1" spans="1:9">
      <c r="A14" s="19" t="s">
        <v>11</v>
      </c>
      <c r="B14" s="20" t="s">
        <v>12</v>
      </c>
      <c r="C14" s="21" t="s">
        <v>13</v>
      </c>
      <c r="D14" s="24" t="s">
        <v>36</v>
      </c>
      <c r="E14" s="19" t="s">
        <v>37</v>
      </c>
      <c r="F14" s="19">
        <v>18</v>
      </c>
      <c r="G14" s="19"/>
      <c r="H14" s="23">
        <v>75.92</v>
      </c>
      <c r="I14" s="19" t="s">
        <v>33</v>
      </c>
    </row>
    <row r="15" s="1" customFormat="1" ht="30" customHeight="1" spans="1:9">
      <c r="A15" s="19" t="s">
        <v>11</v>
      </c>
      <c r="B15" s="20" t="s">
        <v>12</v>
      </c>
      <c r="C15" s="21" t="s">
        <v>13</v>
      </c>
      <c r="D15" s="24" t="s">
        <v>38</v>
      </c>
      <c r="E15" s="19" t="s">
        <v>39</v>
      </c>
      <c r="F15" s="19">
        <v>3</v>
      </c>
      <c r="G15" s="19"/>
      <c r="H15" s="23">
        <v>75.16</v>
      </c>
      <c r="I15" s="19" t="s">
        <v>33</v>
      </c>
    </row>
    <row r="16" s="1" customFormat="1" ht="30" customHeight="1" spans="1:9">
      <c r="A16" s="19" t="s">
        <v>11</v>
      </c>
      <c r="B16" s="20" t="s">
        <v>12</v>
      </c>
      <c r="C16" s="21" t="s">
        <v>13</v>
      </c>
      <c r="D16" s="24" t="s">
        <v>40</v>
      </c>
      <c r="E16" s="19" t="s">
        <v>41</v>
      </c>
      <c r="F16" s="19">
        <v>31</v>
      </c>
      <c r="G16" s="19"/>
      <c r="H16" s="23">
        <v>74.92</v>
      </c>
      <c r="I16" s="19" t="s">
        <v>33</v>
      </c>
    </row>
    <row r="17" s="1" customFormat="1" ht="30" customHeight="1" spans="1:9">
      <c r="A17" s="19" t="s">
        <v>11</v>
      </c>
      <c r="B17" s="20" t="s">
        <v>12</v>
      </c>
      <c r="C17" s="21" t="s">
        <v>13</v>
      </c>
      <c r="D17" s="24" t="s">
        <v>42</v>
      </c>
      <c r="E17" s="19" t="s">
        <v>43</v>
      </c>
      <c r="F17" s="19">
        <v>5</v>
      </c>
      <c r="G17" s="19"/>
      <c r="H17" s="23">
        <v>73.82</v>
      </c>
      <c r="I17" s="19" t="s">
        <v>33</v>
      </c>
    </row>
    <row r="18" s="1" customFormat="1" ht="30" customHeight="1" spans="1:9">
      <c r="A18" s="19" t="s">
        <v>11</v>
      </c>
      <c r="B18" s="20" t="s">
        <v>12</v>
      </c>
      <c r="C18" s="21" t="s">
        <v>13</v>
      </c>
      <c r="D18" s="24" t="s">
        <v>44</v>
      </c>
      <c r="E18" s="19" t="s">
        <v>45</v>
      </c>
      <c r="F18" s="19">
        <v>48</v>
      </c>
      <c r="G18" s="19"/>
      <c r="H18" s="25">
        <v>-1</v>
      </c>
      <c r="I18" s="19" t="s">
        <v>33</v>
      </c>
    </row>
    <row r="19" s="1" customFormat="1" ht="30" customHeight="1" spans="1:9">
      <c r="A19" s="19" t="str">
        <f>"302"</f>
        <v>302</v>
      </c>
      <c r="B19" s="26" t="s">
        <v>46</v>
      </c>
      <c r="C19" s="21" t="s">
        <v>13</v>
      </c>
      <c r="D19" s="22" t="str">
        <f>"高毛"</f>
        <v>高毛</v>
      </c>
      <c r="E19" s="19" t="str">
        <f>"24302020117"</f>
        <v>24302020117</v>
      </c>
      <c r="F19" s="19">
        <v>44</v>
      </c>
      <c r="G19" s="19"/>
      <c r="H19" s="23">
        <v>75.86</v>
      </c>
      <c r="I19" s="31" t="s">
        <v>16</v>
      </c>
    </row>
    <row r="20" s="2" customFormat="1" ht="30" customHeight="1" spans="1:9">
      <c r="A20" s="19" t="str">
        <f>"302"</f>
        <v>302</v>
      </c>
      <c r="B20" s="26" t="s">
        <v>46</v>
      </c>
      <c r="C20" s="21" t="s">
        <v>13</v>
      </c>
      <c r="D20" s="22" t="str">
        <f>"撖兵"</f>
        <v>撖兵</v>
      </c>
      <c r="E20" s="19" t="str">
        <f>"24302020116"</f>
        <v>24302020116</v>
      </c>
      <c r="F20" s="19">
        <v>1</v>
      </c>
      <c r="G20" s="19"/>
      <c r="H20" s="19">
        <v>74.28</v>
      </c>
      <c r="I20" s="31" t="s">
        <v>16</v>
      </c>
    </row>
    <row r="21" s="2" customFormat="1" ht="30" customHeight="1" spans="1:9">
      <c r="A21" s="19" t="str">
        <f>"302"</f>
        <v>302</v>
      </c>
      <c r="B21" s="26" t="s">
        <v>46</v>
      </c>
      <c r="C21" s="21" t="s">
        <v>13</v>
      </c>
      <c r="D21" s="22" t="str">
        <f>"贺鹏瑞"</f>
        <v>贺鹏瑞</v>
      </c>
      <c r="E21" s="19" t="str">
        <f>"24302020119"</f>
        <v>24302020119</v>
      </c>
      <c r="F21" s="19">
        <v>39</v>
      </c>
      <c r="G21" s="19"/>
      <c r="H21" s="23">
        <v>73.32</v>
      </c>
      <c r="I21" s="31" t="s">
        <v>16</v>
      </c>
    </row>
    <row r="22" s="2" customFormat="1" ht="30" customHeight="1" spans="1:9">
      <c r="A22" s="19" t="s">
        <v>47</v>
      </c>
      <c r="B22" s="20" t="s">
        <v>48</v>
      </c>
      <c r="C22" s="21" t="s">
        <v>13</v>
      </c>
      <c r="D22" s="22" t="s">
        <v>49</v>
      </c>
      <c r="E22" s="19" t="s">
        <v>50</v>
      </c>
      <c r="F22" s="19">
        <v>29</v>
      </c>
      <c r="G22" s="19"/>
      <c r="H22" s="23">
        <v>74.38</v>
      </c>
      <c r="I22" s="31" t="s">
        <v>16</v>
      </c>
    </row>
    <row r="23" s="2" customFormat="1" ht="30" customHeight="1" spans="1:9">
      <c r="A23" s="19" t="s">
        <v>47</v>
      </c>
      <c r="B23" s="20" t="s">
        <v>48</v>
      </c>
      <c r="C23" s="21" t="s">
        <v>13</v>
      </c>
      <c r="D23" s="24" t="s">
        <v>51</v>
      </c>
      <c r="E23" s="19" t="s">
        <v>52</v>
      </c>
      <c r="F23" s="19">
        <v>25</v>
      </c>
      <c r="G23" s="19"/>
      <c r="H23" s="23">
        <v>72.34</v>
      </c>
      <c r="I23" s="19" t="s">
        <v>33</v>
      </c>
    </row>
    <row r="24" s="2" customFormat="1" ht="30" customHeight="1" spans="1:9">
      <c r="A24" s="19" t="s">
        <v>53</v>
      </c>
      <c r="B24" s="20" t="s">
        <v>54</v>
      </c>
      <c r="C24" s="21" t="s">
        <v>13</v>
      </c>
      <c r="D24" s="22" t="s">
        <v>55</v>
      </c>
      <c r="E24" s="19" t="s">
        <v>56</v>
      </c>
      <c r="F24" s="19">
        <v>43</v>
      </c>
      <c r="G24" s="19"/>
      <c r="H24" s="23">
        <v>75.56</v>
      </c>
      <c r="I24" s="31" t="s">
        <v>16</v>
      </c>
    </row>
    <row r="25" s="2" customFormat="1" ht="30" customHeight="1" spans="1:9">
      <c r="A25" s="19" t="s">
        <v>57</v>
      </c>
      <c r="B25" s="20" t="s">
        <v>58</v>
      </c>
      <c r="C25" s="21" t="s">
        <v>59</v>
      </c>
      <c r="D25" s="22" t="s">
        <v>60</v>
      </c>
      <c r="E25" s="19" t="s">
        <v>61</v>
      </c>
      <c r="F25" s="19">
        <v>47</v>
      </c>
      <c r="G25" s="19"/>
      <c r="H25" s="23">
        <v>76.44</v>
      </c>
      <c r="I25" s="31" t="s">
        <v>16</v>
      </c>
    </row>
    <row r="26" s="2" customFormat="1" ht="30" customHeight="1" spans="1:9">
      <c r="A26" s="19" t="s">
        <v>57</v>
      </c>
      <c r="B26" s="20" t="s">
        <v>58</v>
      </c>
      <c r="C26" s="21" t="s">
        <v>59</v>
      </c>
      <c r="D26" s="22" t="s">
        <v>62</v>
      </c>
      <c r="E26" s="19" t="s">
        <v>63</v>
      </c>
      <c r="F26" s="19">
        <v>38</v>
      </c>
      <c r="G26" s="19"/>
      <c r="H26" s="23">
        <v>75.96</v>
      </c>
      <c r="I26" s="31" t="s">
        <v>16</v>
      </c>
    </row>
    <row r="27" s="2" customFormat="1" ht="30" customHeight="1" spans="1:9">
      <c r="A27" s="19" t="s">
        <v>57</v>
      </c>
      <c r="B27" s="20" t="s">
        <v>58</v>
      </c>
      <c r="C27" s="21" t="s">
        <v>59</v>
      </c>
      <c r="D27" s="24" t="s">
        <v>64</v>
      </c>
      <c r="E27" s="19" t="s">
        <v>65</v>
      </c>
      <c r="F27" s="19">
        <v>32</v>
      </c>
      <c r="G27" s="19"/>
      <c r="H27" s="23">
        <v>75.46</v>
      </c>
      <c r="I27" s="19" t="s">
        <v>33</v>
      </c>
    </row>
    <row r="28" s="2" customFormat="1" ht="30" customHeight="1" spans="1:9">
      <c r="A28" s="19" t="s">
        <v>57</v>
      </c>
      <c r="B28" s="20" t="s">
        <v>58</v>
      </c>
      <c r="C28" s="21" t="s">
        <v>59</v>
      </c>
      <c r="D28" s="24" t="s">
        <v>66</v>
      </c>
      <c r="E28" s="19" t="s">
        <v>67</v>
      </c>
      <c r="F28" s="19">
        <v>36</v>
      </c>
      <c r="G28" s="19"/>
      <c r="H28" s="23">
        <v>75.26</v>
      </c>
      <c r="I28" s="19" t="s">
        <v>33</v>
      </c>
    </row>
    <row r="29" s="2" customFormat="1" ht="30" customHeight="1" spans="1:9">
      <c r="A29" s="19" t="s">
        <v>57</v>
      </c>
      <c r="B29" s="20" t="s">
        <v>58</v>
      </c>
      <c r="C29" s="21" t="s">
        <v>59</v>
      </c>
      <c r="D29" s="24" t="s">
        <v>68</v>
      </c>
      <c r="E29" s="19" t="s">
        <v>69</v>
      </c>
      <c r="F29" s="19">
        <v>31</v>
      </c>
      <c r="G29" s="19"/>
      <c r="H29" s="23">
        <v>74.82</v>
      </c>
      <c r="I29" s="19" t="s">
        <v>33</v>
      </c>
    </row>
    <row r="30" s="2" customFormat="1" ht="30" customHeight="1" spans="1:9">
      <c r="A30" s="19" t="s">
        <v>70</v>
      </c>
      <c r="B30" s="20" t="s">
        <v>71</v>
      </c>
      <c r="C30" s="21" t="s">
        <v>59</v>
      </c>
      <c r="D30" s="22" t="s">
        <v>72</v>
      </c>
      <c r="E30" s="19" t="s">
        <v>73</v>
      </c>
      <c r="F30" s="19">
        <v>21</v>
      </c>
      <c r="G30" s="19"/>
      <c r="H30" s="23">
        <v>72.68</v>
      </c>
      <c r="I30" s="31" t="s">
        <v>16</v>
      </c>
    </row>
    <row r="31" s="2" customFormat="1" ht="30" customHeight="1" spans="1:9">
      <c r="A31" s="19" t="s">
        <v>74</v>
      </c>
      <c r="B31" s="20" t="s">
        <v>75</v>
      </c>
      <c r="C31" s="21" t="s">
        <v>59</v>
      </c>
      <c r="D31" s="22" t="s">
        <v>76</v>
      </c>
      <c r="E31" s="19" t="s">
        <v>77</v>
      </c>
      <c r="F31" s="19">
        <v>37</v>
      </c>
      <c r="G31" s="19"/>
      <c r="H31" s="23">
        <v>71.96</v>
      </c>
      <c r="I31" s="31" t="s">
        <v>16</v>
      </c>
    </row>
    <row r="32" s="2" customFormat="1" ht="30" customHeight="1" spans="1:9">
      <c r="A32" s="19" t="s">
        <v>78</v>
      </c>
      <c r="B32" s="20" t="s">
        <v>79</v>
      </c>
      <c r="C32" s="21" t="s">
        <v>59</v>
      </c>
      <c r="D32" s="22" t="s">
        <v>80</v>
      </c>
      <c r="E32" s="19" t="s">
        <v>81</v>
      </c>
      <c r="F32" s="19">
        <v>14</v>
      </c>
      <c r="G32" s="19"/>
      <c r="H32" s="23">
        <v>76.1</v>
      </c>
      <c r="I32" s="31" t="s">
        <v>16</v>
      </c>
    </row>
    <row r="33" s="2" customFormat="1" ht="30" customHeight="1" spans="1:9">
      <c r="A33" s="19" t="s">
        <v>82</v>
      </c>
      <c r="B33" s="20" t="s">
        <v>48</v>
      </c>
      <c r="C33" s="21" t="s">
        <v>59</v>
      </c>
      <c r="D33" s="22" t="s">
        <v>83</v>
      </c>
      <c r="E33" s="19" t="s">
        <v>84</v>
      </c>
      <c r="F33" s="19">
        <v>18</v>
      </c>
      <c r="G33" s="19"/>
      <c r="H33" s="23">
        <v>76.02</v>
      </c>
      <c r="I33" s="31" t="s">
        <v>16</v>
      </c>
    </row>
    <row r="34" s="2" customFormat="1" ht="30" customHeight="1" spans="1:9">
      <c r="A34" s="19" t="s">
        <v>82</v>
      </c>
      <c r="B34" s="20" t="s">
        <v>48</v>
      </c>
      <c r="C34" s="21" t="s">
        <v>59</v>
      </c>
      <c r="D34" s="22" t="s">
        <v>85</v>
      </c>
      <c r="E34" s="19" t="s">
        <v>86</v>
      </c>
      <c r="F34" s="19">
        <v>44</v>
      </c>
      <c r="G34" s="19"/>
      <c r="H34" s="23">
        <v>75.98</v>
      </c>
      <c r="I34" s="31" t="s">
        <v>16</v>
      </c>
    </row>
    <row r="35" s="2" customFormat="1" ht="30" customHeight="1" spans="1:9">
      <c r="A35" s="19" t="s">
        <v>82</v>
      </c>
      <c r="B35" s="20" t="s">
        <v>48</v>
      </c>
      <c r="C35" s="21" t="s">
        <v>59</v>
      </c>
      <c r="D35" s="22" t="s">
        <v>87</v>
      </c>
      <c r="E35" s="19" t="s">
        <v>88</v>
      </c>
      <c r="F35" s="19">
        <v>26</v>
      </c>
      <c r="G35" s="19"/>
      <c r="H35" s="23">
        <v>75.84</v>
      </c>
      <c r="I35" s="31" t="s">
        <v>16</v>
      </c>
    </row>
    <row r="36" s="2" customFormat="1" ht="30" customHeight="1" spans="1:9">
      <c r="A36" s="19" t="s">
        <v>82</v>
      </c>
      <c r="B36" s="20" t="s">
        <v>48</v>
      </c>
      <c r="C36" s="21" t="s">
        <v>59</v>
      </c>
      <c r="D36" s="24" t="s">
        <v>89</v>
      </c>
      <c r="E36" s="19" t="s">
        <v>90</v>
      </c>
      <c r="F36" s="19">
        <v>11</v>
      </c>
      <c r="G36" s="19"/>
      <c r="H36" s="25">
        <v>-1</v>
      </c>
      <c r="I36" s="19" t="s">
        <v>33</v>
      </c>
    </row>
    <row r="37" s="2" customFormat="1" ht="30" customHeight="1" spans="1:9">
      <c r="A37" s="19" t="s">
        <v>82</v>
      </c>
      <c r="B37" s="20" t="s">
        <v>48</v>
      </c>
      <c r="C37" s="21" t="s">
        <v>59</v>
      </c>
      <c r="D37" s="24" t="s">
        <v>91</v>
      </c>
      <c r="E37" s="19" t="s">
        <v>92</v>
      </c>
      <c r="F37" s="19">
        <v>12</v>
      </c>
      <c r="G37" s="19"/>
      <c r="H37" s="25">
        <v>-1</v>
      </c>
      <c r="I37" s="19" t="s">
        <v>33</v>
      </c>
    </row>
    <row r="38" s="2" customFormat="1" ht="30" customHeight="1" spans="1:9">
      <c r="A38" s="19" t="s">
        <v>93</v>
      </c>
      <c r="B38" s="20" t="s">
        <v>54</v>
      </c>
      <c r="C38" s="21" t="s">
        <v>59</v>
      </c>
      <c r="D38" s="22" t="s">
        <v>94</v>
      </c>
      <c r="E38" s="19" t="s">
        <v>95</v>
      </c>
      <c r="F38" s="19">
        <v>39</v>
      </c>
      <c r="G38" s="19"/>
      <c r="H38" s="23">
        <v>77.3</v>
      </c>
      <c r="I38" s="31" t="s">
        <v>16</v>
      </c>
    </row>
    <row r="39" s="2" customFormat="1" ht="30" customHeight="1" spans="1:9">
      <c r="A39" s="19" t="s">
        <v>96</v>
      </c>
      <c r="B39" s="20" t="s">
        <v>97</v>
      </c>
      <c r="C39" s="21" t="s">
        <v>59</v>
      </c>
      <c r="D39" s="22" t="s">
        <v>98</v>
      </c>
      <c r="E39" s="19" t="s">
        <v>99</v>
      </c>
      <c r="F39" s="19">
        <v>6</v>
      </c>
      <c r="G39" s="19"/>
      <c r="H39" s="23">
        <v>77.56</v>
      </c>
      <c r="I39" s="31" t="s">
        <v>16</v>
      </c>
    </row>
    <row r="40" s="2" customFormat="1" ht="30" customHeight="1" spans="1:9">
      <c r="A40" s="19" t="s">
        <v>100</v>
      </c>
      <c r="B40" s="20" t="s">
        <v>101</v>
      </c>
      <c r="C40" s="21" t="s">
        <v>59</v>
      </c>
      <c r="D40" s="22" t="s">
        <v>102</v>
      </c>
      <c r="E40" s="19" t="s">
        <v>103</v>
      </c>
      <c r="F40" s="19">
        <v>23</v>
      </c>
      <c r="G40" s="19"/>
      <c r="H40" s="23">
        <v>74.66</v>
      </c>
      <c r="I40" s="31" t="s">
        <v>16</v>
      </c>
    </row>
    <row r="41" s="2" customFormat="1" ht="30" customHeight="1" spans="1:9">
      <c r="A41" s="27" t="s">
        <v>104</v>
      </c>
      <c r="B41" s="27" t="s">
        <v>105</v>
      </c>
      <c r="C41" s="21" t="s">
        <v>59</v>
      </c>
      <c r="D41" s="28" t="s">
        <v>106</v>
      </c>
      <c r="E41" s="27" t="s">
        <v>107</v>
      </c>
      <c r="F41" s="27">
        <v>4</v>
      </c>
      <c r="G41" s="27"/>
      <c r="H41" s="29">
        <v>72.88</v>
      </c>
      <c r="I41" s="31" t="s">
        <v>16</v>
      </c>
    </row>
    <row r="42" s="2" customFormat="1" ht="30" customHeight="1" spans="1:9">
      <c r="A42" s="19" t="s">
        <v>108</v>
      </c>
      <c r="B42" s="26" t="s">
        <v>109</v>
      </c>
      <c r="C42" s="21" t="s">
        <v>59</v>
      </c>
      <c r="D42" s="22" t="s">
        <v>110</v>
      </c>
      <c r="E42" s="19" t="s">
        <v>111</v>
      </c>
      <c r="F42" s="19">
        <v>4</v>
      </c>
      <c r="G42" s="19"/>
      <c r="H42" s="25">
        <v>-1</v>
      </c>
      <c r="I42" s="19" t="s">
        <v>33</v>
      </c>
    </row>
    <row r="43" s="2" customFormat="1" ht="30" customHeight="1" spans="1:9">
      <c r="A43" s="27" t="s">
        <v>112</v>
      </c>
      <c r="B43" s="27" t="s">
        <v>113</v>
      </c>
      <c r="C43" s="21" t="s">
        <v>59</v>
      </c>
      <c r="D43" s="28" t="s">
        <v>114</v>
      </c>
      <c r="E43" s="27" t="s">
        <v>115</v>
      </c>
      <c r="F43" s="27">
        <v>5</v>
      </c>
      <c r="G43" s="27"/>
      <c r="H43" s="29">
        <v>74.52</v>
      </c>
      <c r="I43" s="31" t="s">
        <v>16</v>
      </c>
    </row>
    <row r="44" s="2" customFormat="1" ht="30" customHeight="1" spans="1:9">
      <c r="A44" s="19" t="s">
        <v>116</v>
      </c>
      <c r="B44" s="26" t="s">
        <v>117</v>
      </c>
      <c r="C44" s="21" t="s">
        <v>59</v>
      </c>
      <c r="D44" s="22" t="s">
        <v>118</v>
      </c>
      <c r="E44" s="19" t="s">
        <v>119</v>
      </c>
      <c r="F44" s="19">
        <v>19</v>
      </c>
      <c r="G44" s="19"/>
      <c r="H44" s="23">
        <v>76.8</v>
      </c>
      <c r="I44" s="31" t="s">
        <v>16</v>
      </c>
    </row>
    <row r="45" s="2" customFormat="1" ht="30" customHeight="1" spans="1:9">
      <c r="A45" s="19" t="s">
        <v>116</v>
      </c>
      <c r="B45" s="26" t="s">
        <v>117</v>
      </c>
      <c r="C45" s="21" t="s">
        <v>59</v>
      </c>
      <c r="D45" s="24" t="s">
        <v>120</v>
      </c>
      <c r="E45" s="19" t="s">
        <v>121</v>
      </c>
      <c r="F45" s="19">
        <v>12</v>
      </c>
      <c r="G45" s="19"/>
      <c r="H45" s="25">
        <v>-1</v>
      </c>
      <c r="I45" s="19" t="s">
        <v>33</v>
      </c>
    </row>
    <row r="46" s="2" customFormat="1" ht="30" customHeight="1" spans="1:9">
      <c r="A46" s="19" t="s">
        <v>116</v>
      </c>
      <c r="B46" s="26" t="s">
        <v>117</v>
      </c>
      <c r="C46" s="21" t="s">
        <v>59</v>
      </c>
      <c r="D46" s="24" t="s">
        <v>122</v>
      </c>
      <c r="E46" s="19" t="s">
        <v>123</v>
      </c>
      <c r="F46" s="19">
        <v>15</v>
      </c>
      <c r="G46" s="19"/>
      <c r="H46" s="25">
        <v>-1</v>
      </c>
      <c r="I46" s="19" t="s">
        <v>33</v>
      </c>
    </row>
    <row r="47" s="2" customFormat="1" ht="30" customHeight="1" spans="1:9">
      <c r="A47" s="19" t="str">
        <f>"322"</f>
        <v>322</v>
      </c>
      <c r="B47" s="26" t="s">
        <v>124</v>
      </c>
      <c r="C47" s="21" t="s">
        <v>59</v>
      </c>
      <c r="D47" s="22" t="str">
        <f>"李志生"</f>
        <v>李志生</v>
      </c>
      <c r="E47" s="19" t="str">
        <f>"24322020223"</f>
        <v>24322020223</v>
      </c>
      <c r="F47" s="19">
        <v>65</v>
      </c>
      <c r="G47" s="19"/>
      <c r="H47" s="19">
        <v>76.06</v>
      </c>
      <c r="I47" s="31" t="s">
        <v>16</v>
      </c>
    </row>
    <row r="48" s="2" customFormat="1" ht="30" customHeight="1" spans="1:9">
      <c r="A48" s="19" t="str">
        <f>"322"</f>
        <v>322</v>
      </c>
      <c r="B48" s="26" t="s">
        <v>124</v>
      </c>
      <c r="C48" s="21" t="s">
        <v>59</v>
      </c>
      <c r="D48" s="22" t="str">
        <f>"刘贵东"</f>
        <v>刘贵东</v>
      </c>
      <c r="E48" s="19" t="str">
        <f>"24322020222"</f>
        <v>24322020222</v>
      </c>
      <c r="F48" s="19">
        <v>58</v>
      </c>
      <c r="G48" s="19"/>
      <c r="H48" s="23">
        <v>73.9</v>
      </c>
      <c r="I48" s="31" t="s">
        <v>16</v>
      </c>
    </row>
    <row r="49" s="2" customFormat="1" ht="30" customHeight="1" spans="1:9">
      <c r="A49" s="19" t="str">
        <f>"323"</f>
        <v>323</v>
      </c>
      <c r="B49" s="26" t="s">
        <v>125</v>
      </c>
      <c r="C49" s="21" t="s">
        <v>59</v>
      </c>
      <c r="D49" s="22" t="str">
        <f>"曹金漪"</f>
        <v>曹金漪</v>
      </c>
      <c r="E49" s="19" t="str">
        <f>"24323020225"</f>
        <v>24323020225</v>
      </c>
      <c r="F49" s="19">
        <v>11</v>
      </c>
      <c r="G49" s="19"/>
      <c r="H49" s="23">
        <v>81.04</v>
      </c>
      <c r="I49" s="31" t="s">
        <v>16</v>
      </c>
    </row>
    <row r="50" s="2" customFormat="1" ht="30" customHeight="1" spans="1:9">
      <c r="A50" s="19" t="str">
        <f>"323"</f>
        <v>323</v>
      </c>
      <c r="B50" s="26" t="s">
        <v>125</v>
      </c>
      <c r="C50" s="21" t="s">
        <v>59</v>
      </c>
      <c r="D50" s="22" t="str">
        <f>"熊静"</f>
        <v>熊静</v>
      </c>
      <c r="E50" s="19" t="str">
        <f>"24323020224"</f>
        <v>24323020224</v>
      </c>
      <c r="F50" s="19">
        <v>55</v>
      </c>
      <c r="G50" s="19"/>
      <c r="H50" s="23">
        <v>77.78</v>
      </c>
      <c r="I50" s="31" t="s">
        <v>16</v>
      </c>
    </row>
    <row r="51" s="2" customFormat="1" ht="30" customHeight="1" spans="1:9">
      <c r="A51" s="19" t="str">
        <f>"323"</f>
        <v>323</v>
      </c>
      <c r="B51" s="26" t="s">
        <v>125</v>
      </c>
      <c r="C51" s="21" t="s">
        <v>59</v>
      </c>
      <c r="D51" s="24" t="str">
        <f>"魏学娇"</f>
        <v>魏学娇</v>
      </c>
      <c r="E51" s="19" t="str">
        <f>"24323020226"</f>
        <v>24323020226</v>
      </c>
      <c r="F51" s="19">
        <v>6</v>
      </c>
      <c r="G51" s="19"/>
      <c r="H51" s="19">
        <v>75.12</v>
      </c>
      <c r="I51" s="19" t="s">
        <v>33</v>
      </c>
    </row>
    <row r="52" s="2" customFormat="1" ht="30" customHeight="1" spans="1:9">
      <c r="A52" s="19" t="s">
        <v>126</v>
      </c>
      <c r="B52" s="26" t="s">
        <v>127</v>
      </c>
      <c r="C52" s="21" t="s">
        <v>59</v>
      </c>
      <c r="D52" s="22" t="s">
        <v>128</v>
      </c>
      <c r="E52" s="19" t="s">
        <v>129</v>
      </c>
      <c r="F52" s="19">
        <v>28</v>
      </c>
      <c r="G52" s="19"/>
      <c r="H52" s="23">
        <v>79.1</v>
      </c>
      <c r="I52" s="31" t="s">
        <v>16</v>
      </c>
    </row>
    <row r="53" s="2" customFormat="1" ht="30" customHeight="1" spans="1:9">
      <c r="A53" s="19" t="s">
        <v>126</v>
      </c>
      <c r="B53" s="26" t="s">
        <v>127</v>
      </c>
      <c r="C53" s="21" t="s">
        <v>59</v>
      </c>
      <c r="D53" s="24" t="s">
        <v>130</v>
      </c>
      <c r="E53" s="19" t="s">
        <v>131</v>
      </c>
      <c r="F53" s="19">
        <v>30</v>
      </c>
      <c r="G53" s="19"/>
      <c r="H53" s="23">
        <v>74.46</v>
      </c>
      <c r="I53" s="19" t="s">
        <v>33</v>
      </c>
    </row>
    <row r="54" s="2" customFormat="1" ht="30" customHeight="1" spans="1:9">
      <c r="A54" s="19" t="s">
        <v>132</v>
      </c>
      <c r="B54" s="26" t="s">
        <v>133</v>
      </c>
      <c r="C54" s="21" t="s">
        <v>59</v>
      </c>
      <c r="D54" s="22" t="s">
        <v>134</v>
      </c>
      <c r="E54" s="19" t="s">
        <v>135</v>
      </c>
      <c r="F54" s="19">
        <v>24</v>
      </c>
      <c r="G54" s="19"/>
      <c r="H54" s="23">
        <v>77.16</v>
      </c>
      <c r="I54" s="31" t="s">
        <v>16</v>
      </c>
    </row>
    <row r="55" s="2" customFormat="1" ht="30" customHeight="1" spans="1:9">
      <c r="A55" s="19" t="s">
        <v>132</v>
      </c>
      <c r="B55" s="26" t="s">
        <v>133</v>
      </c>
      <c r="C55" s="21" t="s">
        <v>59</v>
      </c>
      <c r="D55" s="24" t="s">
        <v>136</v>
      </c>
      <c r="E55" s="19" t="s">
        <v>137</v>
      </c>
      <c r="F55" s="19">
        <v>51</v>
      </c>
      <c r="G55" s="19"/>
      <c r="H55" s="23">
        <v>76.4</v>
      </c>
      <c r="I55" s="19" t="s">
        <v>33</v>
      </c>
    </row>
    <row r="56" s="2" customFormat="1" ht="30" customHeight="1" spans="1:9">
      <c r="A56" s="19" t="s">
        <v>132</v>
      </c>
      <c r="B56" s="26" t="s">
        <v>133</v>
      </c>
      <c r="C56" s="21" t="s">
        <v>59</v>
      </c>
      <c r="D56" s="24" t="s">
        <v>138</v>
      </c>
      <c r="E56" s="19" t="s">
        <v>139</v>
      </c>
      <c r="F56" s="19">
        <v>43</v>
      </c>
      <c r="G56" s="19"/>
      <c r="H56" s="23">
        <v>76</v>
      </c>
      <c r="I56" s="19" t="s">
        <v>33</v>
      </c>
    </row>
    <row r="57" s="2" customFormat="1" ht="30" customHeight="1" spans="1:9">
      <c r="A57" s="19" t="s">
        <v>132</v>
      </c>
      <c r="B57" s="26" t="s">
        <v>133</v>
      </c>
      <c r="C57" s="21" t="s">
        <v>59</v>
      </c>
      <c r="D57" s="24" t="s">
        <v>140</v>
      </c>
      <c r="E57" s="19" t="s">
        <v>141</v>
      </c>
      <c r="F57" s="19">
        <v>34</v>
      </c>
      <c r="G57" s="19"/>
      <c r="H57" s="23">
        <v>75.94</v>
      </c>
      <c r="I57" s="19" t="s">
        <v>33</v>
      </c>
    </row>
    <row r="58" s="2" customFormat="1" ht="30" customHeight="1" spans="1:9">
      <c r="A58" s="19" t="s">
        <v>132</v>
      </c>
      <c r="B58" s="26" t="s">
        <v>133</v>
      </c>
      <c r="C58" s="21" t="s">
        <v>59</v>
      </c>
      <c r="D58" s="24" t="s">
        <v>142</v>
      </c>
      <c r="E58" s="19" t="s">
        <v>143</v>
      </c>
      <c r="F58" s="19">
        <v>39</v>
      </c>
      <c r="G58" s="19"/>
      <c r="H58" s="23">
        <v>75.42</v>
      </c>
      <c r="I58" s="19" t="s">
        <v>33</v>
      </c>
    </row>
    <row r="59" s="2" customFormat="1" ht="30" customHeight="1" spans="1:9">
      <c r="A59" s="19" t="s">
        <v>132</v>
      </c>
      <c r="B59" s="26" t="s">
        <v>133</v>
      </c>
      <c r="C59" s="21" t="s">
        <v>59</v>
      </c>
      <c r="D59" s="24" t="s">
        <v>144</v>
      </c>
      <c r="E59" s="19" t="s">
        <v>145</v>
      </c>
      <c r="F59" s="19">
        <v>40</v>
      </c>
      <c r="G59" s="19"/>
      <c r="H59" s="23">
        <v>74.44</v>
      </c>
      <c r="I59" s="19" t="s">
        <v>33</v>
      </c>
    </row>
    <row r="60" s="2" customFormat="1" ht="30" customHeight="1" spans="1:9">
      <c r="A60" s="19" t="s">
        <v>132</v>
      </c>
      <c r="B60" s="26" t="s">
        <v>133</v>
      </c>
      <c r="C60" s="21" t="s">
        <v>59</v>
      </c>
      <c r="D60" s="24" t="s">
        <v>146</v>
      </c>
      <c r="E60" s="19" t="s">
        <v>147</v>
      </c>
      <c r="F60" s="22">
        <v>36</v>
      </c>
      <c r="G60" s="22"/>
      <c r="H60" s="25">
        <v>-1</v>
      </c>
      <c r="I60" s="19" t="s">
        <v>33</v>
      </c>
    </row>
    <row r="61" s="2" customFormat="1" ht="30" customHeight="1" spans="1:9">
      <c r="A61" s="19" t="str">
        <f t="shared" ref="A61:A89" si="0">"326"</f>
        <v>326</v>
      </c>
      <c r="B61" s="26" t="s">
        <v>12</v>
      </c>
      <c r="C61" s="21" t="s">
        <v>59</v>
      </c>
      <c r="D61" s="22" t="str">
        <f>"郝小琴"</f>
        <v>郝小琴</v>
      </c>
      <c r="E61" s="19" t="str">
        <f>"24326020403"</f>
        <v>24326020403</v>
      </c>
      <c r="F61" s="19">
        <v>41</v>
      </c>
      <c r="G61" s="19"/>
      <c r="H61" s="23">
        <v>81.74</v>
      </c>
      <c r="I61" s="31" t="s">
        <v>16</v>
      </c>
    </row>
    <row r="62" s="2" customFormat="1" ht="30" customHeight="1" spans="1:9">
      <c r="A62" s="19" t="str">
        <f t="shared" si="0"/>
        <v>326</v>
      </c>
      <c r="B62" s="26" t="s">
        <v>12</v>
      </c>
      <c r="C62" s="21" t="s">
        <v>59</v>
      </c>
      <c r="D62" s="22" t="str">
        <f>"孙娜"</f>
        <v>孙娜</v>
      </c>
      <c r="E62" s="19" t="str">
        <f>"24326020320"</f>
        <v>24326020320</v>
      </c>
      <c r="F62" s="19">
        <v>15</v>
      </c>
      <c r="G62" s="19"/>
      <c r="H62" s="23">
        <v>81.56</v>
      </c>
      <c r="I62" s="31" t="s">
        <v>16</v>
      </c>
    </row>
    <row r="63" s="2" customFormat="1" ht="30" customHeight="1" spans="1:9">
      <c r="A63" s="19" t="str">
        <f t="shared" si="0"/>
        <v>326</v>
      </c>
      <c r="B63" s="26" t="s">
        <v>12</v>
      </c>
      <c r="C63" s="21" t="s">
        <v>59</v>
      </c>
      <c r="D63" s="22" t="str">
        <f>"李瑞红"</f>
        <v>李瑞红</v>
      </c>
      <c r="E63" s="19" t="str">
        <f>"24326020325"</f>
        <v>24326020325</v>
      </c>
      <c r="F63" s="19">
        <v>36</v>
      </c>
      <c r="G63" s="19"/>
      <c r="H63" s="23">
        <v>80.64</v>
      </c>
      <c r="I63" s="31" t="s">
        <v>16</v>
      </c>
    </row>
    <row r="64" s="2" customFormat="1" ht="30" customHeight="1" spans="1:9">
      <c r="A64" s="19" t="str">
        <f t="shared" si="0"/>
        <v>326</v>
      </c>
      <c r="B64" s="26" t="s">
        <v>12</v>
      </c>
      <c r="C64" s="21" t="s">
        <v>59</v>
      </c>
      <c r="D64" s="22" t="str">
        <f>"樊成"</f>
        <v>樊成</v>
      </c>
      <c r="E64" s="19" t="str">
        <f>"24326020319"</f>
        <v>24326020319</v>
      </c>
      <c r="F64" s="19">
        <v>35</v>
      </c>
      <c r="G64" s="19"/>
      <c r="H64" s="23">
        <v>79.46</v>
      </c>
      <c r="I64" s="31" t="s">
        <v>16</v>
      </c>
    </row>
    <row r="65" s="2" customFormat="1" ht="30" customHeight="1" spans="1:9">
      <c r="A65" s="19" t="str">
        <f t="shared" si="0"/>
        <v>326</v>
      </c>
      <c r="B65" s="26" t="s">
        <v>12</v>
      </c>
      <c r="C65" s="21" t="s">
        <v>59</v>
      </c>
      <c r="D65" s="22" t="str">
        <f>"张慧"</f>
        <v>张慧</v>
      </c>
      <c r="E65" s="19" t="str">
        <f>"24326020321"</f>
        <v>24326020321</v>
      </c>
      <c r="F65" s="19">
        <v>32</v>
      </c>
      <c r="G65" s="19"/>
      <c r="H65" s="23">
        <v>79.16</v>
      </c>
      <c r="I65" s="31" t="s">
        <v>16</v>
      </c>
    </row>
    <row r="66" s="2" customFormat="1" ht="30" customHeight="1" spans="1:9">
      <c r="A66" s="19" t="str">
        <f t="shared" si="0"/>
        <v>326</v>
      </c>
      <c r="B66" s="26" t="s">
        <v>12</v>
      </c>
      <c r="C66" s="21" t="s">
        <v>59</v>
      </c>
      <c r="D66" s="22" t="str">
        <f>"李梓伊"</f>
        <v>李梓伊</v>
      </c>
      <c r="E66" s="19" t="str">
        <f>"24326020316"</f>
        <v>24326020316</v>
      </c>
      <c r="F66" s="19">
        <v>37</v>
      </c>
      <c r="G66" s="19"/>
      <c r="H66" s="23">
        <v>78.86</v>
      </c>
      <c r="I66" s="31" t="s">
        <v>16</v>
      </c>
    </row>
    <row r="67" s="2" customFormat="1" ht="30" customHeight="1" spans="1:9">
      <c r="A67" s="19" t="str">
        <f t="shared" si="0"/>
        <v>326</v>
      </c>
      <c r="B67" s="26" t="s">
        <v>12</v>
      </c>
      <c r="C67" s="21" t="s">
        <v>59</v>
      </c>
      <c r="D67" s="22" t="str">
        <f>"辛乐"</f>
        <v>辛乐</v>
      </c>
      <c r="E67" s="19" t="str">
        <f>"24326020404"</f>
        <v>24326020404</v>
      </c>
      <c r="F67" s="19">
        <v>28</v>
      </c>
      <c r="G67" s="19"/>
      <c r="H67" s="23">
        <v>77.48</v>
      </c>
      <c r="I67" s="31" t="s">
        <v>16</v>
      </c>
    </row>
    <row r="68" s="2" customFormat="1" ht="30" customHeight="1" spans="1:9">
      <c r="A68" s="19" t="str">
        <f t="shared" si="0"/>
        <v>326</v>
      </c>
      <c r="B68" s="26" t="s">
        <v>12</v>
      </c>
      <c r="C68" s="21" t="s">
        <v>59</v>
      </c>
      <c r="D68" s="22" t="str">
        <f>"王瑞"</f>
        <v>王瑞</v>
      </c>
      <c r="E68" s="19" t="str">
        <f>"24326020312"</f>
        <v>24326020312</v>
      </c>
      <c r="F68" s="19">
        <v>23</v>
      </c>
      <c r="G68" s="19"/>
      <c r="H68" s="23">
        <v>77.4</v>
      </c>
      <c r="I68" s="31" t="s">
        <v>16</v>
      </c>
    </row>
    <row r="69" s="2" customFormat="1" ht="30" customHeight="1" spans="1:9">
      <c r="A69" s="19" t="str">
        <f t="shared" si="0"/>
        <v>326</v>
      </c>
      <c r="B69" s="26" t="s">
        <v>12</v>
      </c>
      <c r="C69" s="21" t="s">
        <v>59</v>
      </c>
      <c r="D69" s="22" t="str">
        <f>"李瑞杰"</f>
        <v>李瑞杰</v>
      </c>
      <c r="E69" s="19" t="str">
        <f>"24326020324"</f>
        <v>24326020324</v>
      </c>
      <c r="F69" s="19">
        <v>9</v>
      </c>
      <c r="G69" s="19"/>
      <c r="H69" s="23">
        <v>77.28</v>
      </c>
      <c r="I69" s="31" t="s">
        <v>16</v>
      </c>
    </row>
    <row r="70" s="2" customFormat="1" ht="30" customHeight="1" spans="1:9">
      <c r="A70" s="19" t="str">
        <f t="shared" si="0"/>
        <v>326</v>
      </c>
      <c r="B70" s="26" t="s">
        <v>12</v>
      </c>
      <c r="C70" s="21" t="s">
        <v>59</v>
      </c>
      <c r="D70" s="22" t="str">
        <f>"李芪"</f>
        <v>李芪</v>
      </c>
      <c r="E70" s="19" t="str">
        <f>"24326020313"</f>
        <v>24326020313</v>
      </c>
      <c r="F70" s="19">
        <v>58</v>
      </c>
      <c r="G70" s="19"/>
      <c r="H70" s="23">
        <v>77.18</v>
      </c>
      <c r="I70" s="31" t="s">
        <v>16</v>
      </c>
    </row>
    <row r="71" s="2" customFormat="1" ht="30" customHeight="1" spans="1:9">
      <c r="A71" s="19" t="str">
        <f t="shared" si="0"/>
        <v>326</v>
      </c>
      <c r="B71" s="26" t="s">
        <v>12</v>
      </c>
      <c r="C71" s="21" t="s">
        <v>59</v>
      </c>
      <c r="D71" s="22" t="str">
        <f>"李媛"</f>
        <v>李媛</v>
      </c>
      <c r="E71" s="19" t="str">
        <f>"24326020401"</f>
        <v>24326020401</v>
      </c>
      <c r="F71" s="19">
        <v>46</v>
      </c>
      <c r="G71" s="19"/>
      <c r="H71" s="23">
        <v>76.6</v>
      </c>
      <c r="I71" s="31" t="s">
        <v>16</v>
      </c>
    </row>
    <row r="72" s="2" customFormat="1" ht="30" customHeight="1" spans="1:9">
      <c r="A72" s="19" t="str">
        <f t="shared" si="0"/>
        <v>326</v>
      </c>
      <c r="B72" s="26" t="s">
        <v>12</v>
      </c>
      <c r="C72" s="21" t="s">
        <v>59</v>
      </c>
      <c r="D72" s="22" t="str">
        <f>"王娜"</f>
        <v>王娜</v>
      </c>
      <c r="E72" s="19" t="str">
        <f>"24326020327"</f>
        <v>24326020327</v>
      </c>
      <c r="F72" s="19">
        <v>47</v>
      </c>
      <c r="G72" s="19"/>
      <c r="H72" s="23">
        <v>76.36</v>
      </c>
      <c r="I72" s="31" t="s">
        <v>16</v>
      </c>
    </row>
    <row r="73" s="2" customFormat="1" ht="30" customHeight="1" spans="1:9">
      <c r="A73" s="19" t="str">
        <f t="shared" si="0"/>
        <v>326</v>
      </c>
      <c r="B73" s="26" t="s">
        <v>12</v>
      </c>
      <c r="C73" s="21" t="s">
        <v>59</v>
      </c>
      <c r="D73" s="24" t="str">
        <f>"刘杰"</f>
        <v>刘杰</v>
      </c>
      <c r="E73" s="19" t="str">
        <f>"24326020329"</f>
        <v>24326020329</v>
      </c>
      <c r="F73" s="19">
        <v>34</v>
      </c>
      <c r="G73" s="19"/>
      <c r="H73" s="23">
        <v>76.06</v>
      </c>
      <c r="I73" s="19" t="s">
        <v>33</v>
      </c>
    </row>
    <row r="74" s="2" customFormat="1" ht="30" customHeight="1" spans="1:9">
      <c r="A74" s="19" t="str">
        <f t="shared" si="0"/>
        <v>326</v>
      </c>
      <c r="B74" s="26" t="s">
        <v>12</v>
      </c>
      <c r="C74" s="21" t="s">
        <v>59</v>
      </c>
      <c r="D74" s="24" t="str">
        <f>"秦宇"</f>
        <v>秦宇</v>
      </c>
      <c r="E74" s="19" t="str">
        <f>"24326020309"</f>
        <v>24326020309</v>
      </c>
      <c r="F74" s="19">
        <v>43</v>
      </c>
      <c r="G74" s="19"/>
      <c r="H74" s="23">
        <v>75.7</v>
      </c>
      <c r="I74" s="19" t="s">
        <v>33</v>
      </c>
    </row>
    <row r="75" s="2" customFormat="1" ht="30" customHeight="1" spans="1:9">
      <c r="A75" s="19" t="str">
        <f t="shared" si="0"/>
        <v>326</v>
      </c>
      <c r="B75" s="26" t="s">
        <v>12</v>
      </c>
      <c r="C75" s="21" t="s">
        <v>59</v>
      </c>
      <c r="D75" s="24" t="str">
        <f>"王雪琳"</f>
        <v>王雪琳</v>
      </c>
      <c r="E75" s="19" t="str">
        <f>"24326020317"</f>
        <v>24326020317</v>
      </c>
      <c r="F75" s="19">
        <v>5</v>
      </c>
      <c r="G75" s="19"/>
      <c r="H75" s="23">
        <v>75.5</v>
      </c>
      <c r="I75" s="19" t="s">
        <v>33</v>
      </c>
    </row>
    <row r="76" s="2" customFormat="1" ht="30" customHeight="1" spans="1:9">
      <c r="A76" s="19" t="str">
        <f t="shared" si="0"/>
        <v>326</v>
      </c>
      <c r="B76" s="26" t="s">
        <v>12</v>
      </c>
      <c r="C76" s="21" t="s">
        <v>59</v>
      </c>
      <c r="D76" s="24" t="str">
        <f>"王敏"</f>
        <v>王敏</v>
      </c>
      <c r="E76" s="19" t="str">
        <f>"24326020311"</f>
        <v>24326020311</v>
      </c>
      <c r="F76" s="19">
        <v>19</v>
      </c>
      <c r="G76" s="19"/>
      <c r="H76" s="23">
        <v>75.42</v>
      </c>
      <c r="I76" s="19" t="s">
        <v>33</v>
      </c>
    </row>
    <row r="77" s="2" customFormat="1" ht="30" customHeight="1" spans="1:9">
      <c r="A77" s="19" t="str">
        <f t="shared" si="0"/>
        <v>326</v>
      </c>
      <c r="B77" s="26" t="s">
        <v>12</v>
      </c>
      <c r="C77" s="21" t="s">
        <v>59</v>
      </c>
      <c r="D77" s="24" t="str">
        <f>"孟慧"</f>
        <v>孟慧</v>
      </c>
      <c r="E77" s="19" t="str">
        <f>"24326020318"</f>
        <v>24326020318</v>
      </c>
      <c r="F77" s="19">
        <v>49</v>
      </c>
      <c r="G77" s="19"/>
      <c r="H77" s="23">
        <v>75.12</v>
      </c>
      <c r="I77" s="19" t="s">
        <v>33</v>
      </c>
    </row>
    <row r="78" s="2" customFormat="1" ht="30" customHeight="1" spans="1:9">
      <c r="A78" s="19" t="str">
        <f t="shared" si="0"/>
        <v>326</v>
      </c>
      <c r="B78" s="26" t="s">
        <v>12</v>
      </c>
      <c r="C78" s="21" t="s">
        <v>59</v>
      </c>
      <c r="D78" s="24" t="str">
        <f>"郝敏"</f>
        <v>郝敏</v>
      </c>
      <c r="E78" s="19" t="str">
        <f>"24326020314"</f>
        <v>24326020314</v>
      </c>
      <c r="F78" s="19">
        <v>11</v>
      </c>
      <c r="G78" s="19"/>
      <c r="H78" s="23">
        <v>75.06</v>
      </c>
      <c r="I78" s="19" t="s">
        <v>33</v>
      </c>
    </row>
    <row r="79" s="2" customFormat="1" ht="30" customHeight="1" spans="1:9">
      <c r="A79" s="19" t="str">
        <f t="shared" si="0"/>
        <v>326</v>
      </c>
      <c r="B79" s="26" t="s">
        <v>12</v>
      </c>
      <c r="C79" s="21" t="s">
        <v>59</v>
      </c>
      <c r="D79" s="24" t="str">
        <f>"高培雄"</f>
        <v>高培雄</v>
      </c>
      <c r="E79" s="19" t="str">
        <f>"24326020405"</f>
        <v>24326020405</v>
      </c>
      <c r="F79" s="19">
        <v>56</v>
      </c>
      <c r="G79" s="19"/>
      <c r="H79" s="23">
        <v>74.9</v>
      </c>
      <c r="I79" s="19" t="s">
        <v>33</v>
      </c>
    </row>
    <row r="80" s="2" customFormat="1" ht="30" customHeight="1" spans="1:9">
      <c r="A80" s="19" t="str">
        <f t="shared" si="0"/>
        <v>326</v>
      </c>
      <c r="B80" s="26" t="s">
        <v>12</v>
      </c>
      <c r="C80" s="21" t="s">
        <v>59</v>
      </c>
      <c r="D80" s="24" t="str">
        <f>"李丹"</f>
        <v>李丹</v>
      </c>
      <c r="E80" s="19" t="str">
        <f>"24326020402"</f>
        <v>24326020402</v>
      </c>
      <c r="F80" s="19">
        <v>10</v>
      </c>
      <c r="G80" s="19"/>
      <c r="H80" s="23">
        <v>74.7</v>
      </c>
      <c r="I80" s="19" t="s">
        <v>33</v>
      </c>
    </row>
    <row r="81" s="2" customFormat="1" ht="30" customHeight="1" spans="1:9">
      <c r="A81" s="19" t="str">
        <f t="shared" si="0"/>
        <v>326</v>
      </c>
      <c r="B81" s="26" t="s">
        <v>12</v>
      </c>
      <c r="C81" s="21" t="s">
        <v>59</v>
      </c>
      <c r="D81" s="24" t="str">
        <f>"刘珈荧"</f>
        <v>刘珈荧</v>
      </c>
      <c r="E81" s="19" t="str">
        <f>"24326020310"</f>
        <v>24326020310</v>
      </c>
      <c r="F81" s="19">
        <v>51</v>
      </c>
      <c r="G81" s="19"/>
      <c r="H81" s="23">
        <v>74.52</v>
      </c>
      <c r="I81" s="19" t="s">
        <v>33</v>
      </c>
    </row>
    <row r="82" s="2" customFormat="1" ht="30" customHeight="1" spans="1:9">
      <c r="A82" s="19" t="str">
        <f t="shared" si="0"/>
        <v>326</v>
      </c>
      <c r="B82" s="26" t="s">
        <v>12</v>
      </c>
      <c r="C82" s="21" t="s">
        <v>59</v>
      </c>
      <c r="D82" s="24" t="str">
        <f>"赵婉茹"</f>
        <v>赵婉茹</v>
      </c>
      <c r="E82" s="19" t="str">
        <f>"24326020326"</f>
        <v>24326020326</v>
      </c>
      <c r="F82" s="19">
        <v>27</v>
      </c>
      <c r="G82" s="19"/>
      <c r="H82" s="23">
        <v>74.5</v>
      </c>
      <c r="I82" s="19" t="s">
        <v>33</v>
      </c>
    </row>
    <row r="83" s="2" customFormat="1" ht="30" customHeight="1" spans="1:9">
      <c r="A83" s="19" t="str">
        <f t="shared" si="0"/>
        <v>326</v>
      </c>
      <c r="B83" s="26" t="s">
        <v>12</v>
      </c>
      <c r="C83" s="21" t="s">
        <v>59</v>
      </c>
      <c r="D83" s="24" t="str">
        <f>"高敏"</f>
        <v>高敏</v>
      </c>
      <c r="E83" s="19" t="str">
        <f>"24326020307"</f>
        <v>24326020307</v>
      </c>
      <c r="F83" s="19">
        <v>13</v>
      </c>
      <c r="G83" s="19"/>
      <c r="H83" s="23">
        <v>74.22</v>
      </c>
      <c r="I83" s="19" t="s">
        <v>33</v>
      </c>
    </row>
    <row r="84" s="2" customFormat="1" ht="30" customHeight="1" spans="1:9">
      <c r="A84" s="19" t="str">
        <f t="shared" si="0"/>
        <v>326</v>
      </c>
      <c r="B84" s="26" t="s">
        <v>12</v>
      </c>
      <c r="C84" s="21" t="s">
        <v>59</v>
      </c>
      <c r="D84" s="24" t="str">
        <f>"叶青林"</f>
        <v>叶青林</v>
      </c>
      <c r="E84" s="19" t="str">
        <f>"24326020315"</f>
        <v>24326020315</v>
      </c>
      <c r="F84" s="19">
        <v>48</v>
      </c>
      <c r="G84" s="19"/>
      <c r="H84" s="23">
        <v>73.96</v>
      </c>
      <c r="I84" s="19" t="s">
        <v>33</v>
      </c>
    </row>
    <row r="85" s="2" customFormat="1" ht="30" customHeight="1" spans="1:9">
      <c r="A85" s="19" t="str">
        <f t="shared" si="0"/>
        <v>326</v>
      </c>
      <c r="B85" s="26" t="s">
        <v>12</v>
      </c>
      <c r="C85" s="21" t="s">
        <v>59</v>
      </c>
      <c r="D85" s="24" t="str">
        <f>"王欣"</f>
        <v>王欣</v>
      </c>
      <c r="E85" s="19" t="str">
        <f>"24326020308"</f>
        <v>24326020308</v>
      </c>
      <c r="F85" s="19">
        <v>26</v>
      </c>
      <c r="G85" s="19"/>
      <c r="H85" s="23">
        <v>73.78</v>
      </c>
      <c r="I85" s="19" t="s">
        <v>33</v>
      </c>
    </row>
    <row r="86" s="2" customFormat="1" ht="30" customHeight="1" spans="1:9">
      <c r="A86" s="19" t="str">
        <f t="shared" si="0"/>
        <v>326</v>
      </c>
      <c r="B86" s="26" t="s">
        <v>12</v>
      </c>
      <c r="C86" s="21" t="s">
        <v>59</v>
      </c>
      <c r="D86" s="24" t="str">
        <f>"白白"</f>
        <v>白白</v>
      </c>
      <c r="E86" s="19" t="str">
        <f>"24326020306"</f>
        <v>24326020306</v>
      </c>
      <c r="F86" s="19">
        <v>25</v>
      </c>
      <c r="G86" s="19"/>
      <c r="H86" s="23">
        <v>73.72</v>
      </c>
      <c r="I86" s="19" t="s">
        <v>33</v>
      </c>
    </row>
    <row r="87" s="2" customFormat="1" ht="30" customHeight="1" spans="1:9">
      <c r="A87" s="19" t="str">
        <f t="shared" si="0"/>
        <v>326</v>
      </c>
      <c r="B87" s="26" t="s">
        <v>12</v>
      </c>
      <c r="C87" s="21" t="s">
        <v>59</v>
      </c>
      <c r="D87" s="24" t="str">
        <f>"朱金萍"</f>
        <v>朱金萍</v>
      </c>
      <c r="E87" s="19" t="str">
        <f>"24326020322"</f>
        <v>24326020322</v>
      </c>
      <c r="F87" s="19">
        <v>6</v>
      </c>
      <c r="G87" s="19"/>
      <c r="H87" s="23">
        <v>73.38</v>
      </c>
      <c r="I87" s="19" t="s">
        <v>33</v>
      </c>
    </row>
    <row r="88" s="2" customFormat="1" ht="30" customHeight="1" spans="1:9">
      <c r="A88" s="19" t="str">
        <f t="shared" si="0"/>
        <v>326</v>
      </c>
      <c r="B88" s="26" t="s">
        <v>12</v>
      </c>
      <c r="C88" s="21" t="s">
        <v>59</v>
      </c>
      <c r="D88" s="24" t="str">
        <f>"李霞"</f>
        <v>李霞</v>
      </c>
      <c r="E88" s="19" t="str">
        <f>"24326020323"</f>
        <v>24326020323</v>
      </c>
      <c r="F88" s="19">
        <v>18</v>
      </c>
      <c r="G88" s="19"/>
      <c r="H88" s="23">
        <v>73.32</v>
      </c>
      <c r="I88" s="19" t="s">
        <v>33</v>
      </c>
    </row>
    <row r="89" s="2" customFormat="1" ht="30" customHeight="1" spans="1:9">
      <c r="A89" s="19" t="str">
        <f t="shared" si="0"/>
        <v>326</v>
      </c>
      <c r="B89" s="26" t="s">
        <v>12</v>
      </c>
      <c r="C89" s="21" t="s">
        <v>59</v>
      </c>
      <c r="D89" s="24" t="str">
        <f>"冯继秋"</f>
        <v>冯继秋</v>
      </c>
      <c r="E89" s="19" t="str">
        <f>"24326020330"</f>
        <v>24326020330</v>
      </c>
      <c r="F89" s="19">
        <v>31</v>
      </c>
      <c r="G89" s="19"/>
      <c r="H89" s="23">
        <v>72.02</v>
      </c>
      <c r="I89" s="19" t="s">
        <v>33</v>
      </c>
    </row>
    <row r="90" s="2" customFormat="1" ht="30" customHeight="1" spans="1:9">
      <c r="A90" s="19" t="s">
        <v>148</v>
      </c>
      <c r="B90" s="26" t="s">
        <v>149</v>
      </c>
      <c r="C90" s="21" t="s">
        <v>150</v>
      </c>
      <c r="D90" s="22" t="s">
        <v>151</v>
      </c>
      <c r="E90" s="19" t="s">
        <v>152</v>
      </c>
      <c r="F90" s="19">
        <v>40</v>
      </c>
      <c r="G90" s="19"/>
      <c r="H90" s="23">
        <v>79.4</v>
      </c>
      <c r="I90" s="31" t="s">
        <v>16</v>
      </c>
    </row>
    <row r="91" s="2" customFormat="1" ht="30" customHeight="1" spans="1:9">
      <c r="A91" s="19" t="s">
        <v>148</v>
      </c>
      <c r="B91" s="26" t="s">
        <v>149</v>
      </c>
      <c r="C91" s="21" t="s">
        <v>150</v>
      </c>
      <c r="D91" s="24" t="s">
        <v>153</v>
      </c>
      <c r="E91" s="19" t="s">
        <v>154</v>
      </c>
      <c r="F91" s="19">
        <v>30</v>
      </c>
      <c r="G91" s="19"/>
      <c r="H91" s="23">
        <v>78.5</v>
      </c>
      <c r="I91" s="19" t="s">
        <v>33</v>
      </c>
    </row>
    <row r="92" s="2" customFormat="1" ht="30" customHeight="1" spans="1:9">
      <c r="A92" s="19" t="s">
        <v>155</v>
      </c>
      <c r="B92" s="26" t="s">
        <v>156</v>
      </c>
      <c r="C92" s="21" t="s">
        <v>150</v>
      </c>
      <c r="D92" s="22" t="s">
        <v>157</v>
      </c>
      <c r="E92" s="19" t="s">
        <v>158</v>
      </c>
      <c r="F92" s="19">
        <v>28</v>
      </c>
      <c r="G92" s="19"/>
      <c r="H92" s="23">
        <v>80.32</v>
      </c>
      <c r="I92" s="31" t="s">
        <v>16</v>
      </c>
    </row>
    <row r="93" s="2" customFormat="1" ht="30" customHeight="1" spans="1:9">
      <c r="A93" s="19" t="s">
        <v>155</v>
      </c>
      <c r="B93" s="26" t="s">
        <v>156</v>
      </c>
      <c r="C93" s="21" t="s">
        <v>150</v>
      </c>
      <c r="D93" s="22" t="s">
        <v>159</v>
      </c>
      <c r="E93" s="19" t="s">
        <v>160</v>
      </c>
      <c r="F93" s="19">
        <v>31</v>
      </c>
      <c r="G93" s="19"/>
      <c r="H93" s="23">
        <v>74.94</v>
      </c>
      <c r="I93" s="31" t="s">
        <v>16</v>
      </c>
    </row>
    <row r="94" s="2" customFormat="1" ht="30" customHeight="1" spans="1:9">
      <c r="A94" s="19" t="s">
        <v>155</v>
      </c>
      <c r="B94" s="26" t="s">
        <v>156</v>
      </c>
      <c r="C94" s="21" t="s">
        <v>150</v>
      </c>
      <c r="D94" s="24" t="s">
        <v>161</v>
      </c>
      <c r="E94" s="19" t="s">
        <v>162</v>
      </c>
      <c r="F94" s="19">
        <v>41</v>
      </c>
      <c r="G94" s="19"/>
      <c r="H94" s="23">
        <v>68.78</v>
      </c>
      <c r="I94" s="19" t="s">
        <v>33</v>
      </c>
    </row>
    <row r="95" s="2" customFormat="1" ht="30" customHeight="1" spans="1:9">
      <c r="A95" s="19" t="s">
        <v>155</v>
      </c>
      <c r="B95" s="26" t="s">
        <v>156</v>
      </c>
      <c r="C95" s="21" t="s">
        <v>150</v>
      </c>
      <c r="D95" s="24" t="s">
        <v>163</v>
      </c>
      <c r="E95" s="19" t="s">
        <v>164</v>
      </c>
      <c r="F95" s="19">
        <v>42</v>
      </c>
      <c r="G95" s="19"/>
      <c r="H95" s="23">
        <v>66.38</v>
      </c>
      <c r="I95" s="19" t="s">
        <v>33</v>
      </c>
    </row>
    <row r="96" s="2" customFormat="1" ht="30" customHeight="1" spans="1:9">
      <c r="A96" s="19" t="s">
        <v>155</v>
      </c>
      <c r="B96" s="26" t="s">
        <v>156</v>
      </c>
      <c r="C96" s="21" t="s">
        <v>150</v>
      </c>
      <c r="D96" s="24" t="s">
        <v>165</v>
      </c>
      <c r="E96" s="19" t="s">
        <v>166</v>
      </c>
      <c r="F96" s="19">
        <v>34</v>
      </c>
      <c r="G96" s="19"/>
      <c r="H96" s="25">
        <v>-1</v>
      </c>
      <c r="I96" s="19" t="s">
        <v>33</v>
      </c>
    </row>
    <row r="97" s="2" customFormat="1" ht="30" customHeight="1" spans="1:9">
      <c r="A97" s="19" t="s">
        <v>155</v>
      </c>
      <c r="B97" s="26" t="s">
        <v>156</v>
      </c>
      <c r="C97" s="21" t="s">
        <v>150</v>
      </c>
      <c r="D97" s="24" t="s">
        <v>167</v>
      </c>
      <c r="E97" s="19" t="s">
        <v>168</v>
      </c>
      <c r="F97" s="19">
        <v>39</v>
      </c>
      <c r="G97" s="19"/>
      <c r="H97" s="25">
        <v>-1</v>
      </c>
      <c r="I97" s="19" t="s">
        <v>33</v>
      </c>
    </row>
    <row r="98" s="2" customFormat="1" ht="30" customHeight="1" spans="1:9">
      <c r="A98" s="19" t="s">
        <v>169</v>
      </c>
      <c r="B98" s="20" t="s">
        <v>12</v>
      </c>
      <c r="C98" s="21" t="s">
        <v>150</v>
      </c>
      <c r="D98" s="22" t="s">
        <v>170</v>
      </c>
      <c r="E98" s="19" t="s">
        <v>171</v>
      </c>
      <c r="F98" s="19">
        <v>40</v>
      </c>
      <c r="G98" s="19"/>
      <c r="H98" s="23">
        <v>81.14</v>
      </c>
      <c r="I98" s="31" t="s">
        <v>16</v>
      </c>
    </row>
    <row r="99" s="2" customFormat="1" ht="30" customHeight="1" spans="1:9">
      <c r="A99" s="19" t="s">
        <v>169</v>
      </c>
      <c r="B99" s="20" t="s">
        <v>12</v>
      </c>
      <c r="C99" s="21" t="s">
        <v>150</v>
      </c>
      <c r="D99" s="22" t="s">
        <v>172</v>
      </c>
      <c r="E99" s="19" t="s">
        <v>173</v>
      </c>
      <c r="F99" s="19">
        <v>34</v>
      </c>
      <c r="G99" s="19"/>
      <c r="H99" s="23">
        <v>81.12</v>
      </c>
      <c r="I99" s="31" t="s">
        <v>16</v>
      </c>
    </row>
    <row r="100" s="2" customFormat="1" ht="30" customHeight="1" spans="1:9">
      <c r="A100" s="19" t="s">
        <v>169</v>
      </c>
      <c r="B100" s="20" t="s">
        <v>12</v>
      </c>
      <c r="C100" s="21" t="s">
        <v>150</v>
      </c>
      <c r="D100" s="22" t="s">
        <v>174</v>
      </c>
      <c r="E100" s="19" t="s">
        <v>175</v>
      </c>
      <c r="F100" s="19">
        <v>20</v>
      </c>
      <c r="G100" s="19"/>
      <c r="H100" s="23">
        <v>80.78</v>
      </c>
      <c r="I100" s="31" t="s">
        <v>16</v>
      </c>
    </row>
    <row r="101" s="2" customFormat="1" ht="30" customHeight="1" spans="1:9">
      <c r="A101" s="19" t="s">
        <v>169</v>
      </c>
      <c r="B101" s="20" t="s">
        <v>12</v>
      </c>
      <c r="C101" s="21" t="s">
        <v>150</v>
      </c>
      <c r="D101" s="22" t="s">
        <v>176</v>
      </c>
      <c r="E101" s="19" t="s">
        <v>177</v>
      </c>
      <c r="F101" s="19">
        <v>19</v>
      </c>
      <c r="G101" s="19"/>
      <c r="H101" s="23">
        <v>80.7</v>
      </c>
      <c r="I101" s="31" t="s">
        <v>16</v>
      </c>
    </row>
    <row r="102" s="2" customFormat="1" ht="30" customHeight="1" spans="1:9">
      <c r="A102" s="19" t="s">
        <v>169</v>
      </c>
      <c r="B102" s="20" t="s">
        <v>12</v>
      </c>
      <c r="C102" s="21" t="s">
        <v>150</v>
      </c>
      <c r="D102" s="22" t="s">
        <v>178</v>
      </c>
      <c r="E102" s="19" t="s">
        <v>179</v>
      </c>
      <c r="F102" s="19">
        <v>4</v>
      </c>
      <c r="G102" s="19"/>
      <c r="H102" s="23">
        <v>80.42</v>
      </c>
      <c r="I102" s="31" t="s">
        <v>16</v>
      </c>
    </row>
    <row r="103" s="2" customFormat="1" ht="30" customHeight="1" spans="1:9">
      <c r="A103" s="19" t="s">
        <v>169</v>
      </c>
      <c r="B103" s="20" t="s">
        <v>12</v>
      </c>
      <c r="C103" s="21" t="s">
        <v>150</v>
      </c>
      <c r="D103" s="22" t="s">
        <v>180</v>
      </c>
      <c r="E103" s="19" t="s">
        <v>181</v>
      </c>
      <c r="F103" s="19">
        <v>62</v>
      </c>
      <c r="G103" s="19"/>
      <c r="H103" s="23">
        <v>80.16</v>
      </c>
      <c r="I103" s="31" t="s">
        <v>16</v>
      </c>
    </row>
    <row r="104" s="2" customFormat="1" ht="30" customHeight="1" spans="1:9">
      <c r="A104" s="19" t="s">
        <v>169</v>
      </c>
      <c r="B104" s="20" t="s">
        <v>12</v>
      </c>
      <c r="C104" s="21" t="s">
        <v>150</v>
      </c>
      <c r="D104" s="22" t="s">
        <v>182</v>
      </c>
      <c r="E104" s="19" t="s">
        <v>183</v>
      </c>
      <c r="F104" s="19">
        <v>57</v>
      </c>
      <c r="G104" s="19"/>
      <c r="H104" s="23">
        <v>80.02</v>
      </c>
      <c r="I104" s="31" t="s">
        <v>16</v>
      </c>
    </row>
    <row r="105" s="2" customFormat="1" ht="30" customHeight="1" spans="1:9">
      <c r="A105" s="19" t="s">
        <v>169</v>
      </c>
      <c r="B105" s="20" t="s">
        <v>12</v>
      </c>
      <c r="C105" s="21" t="s">
        <v>150</v>
      </c>
      <c r="D105" s="22" t="s">
        <v>184</v>
      </c>
      <c r="E105" s="19" t="s">
        <v>185</v>
      </c>
      <c r="F105" s="19">
        <v>33</v>
      </c>
      <c r="G105" s="19"/>
      <c r="H105" s="23">
        <v>79.96</v>
      </c>
      <c r="I105" s="31" t="s">
        <v>16</v>
      </c>
    </row>
    <row r="106" s="2" customFormat="1" ht="30" customHeight="1" spans="1:9">
      <c r="A106" s="19" t="s">
        <v>169</v>
      </c>
      <c r="B106" s="20" t="s">
        <v>12</v>
      </c>
      <c r="C106" s="21" t="s">
        <v>150</v>
      </c>
      <c r="D106" s="22" t="s">
        <v>186</v>
      </c>
      <c r="E106" s="19" t="s">
        <v>187</v>
      </c>
      <c r="F106" s="19">
        <v>51</v>
      </c>
      <c r="G106" s="19"/>
      <c r="H106" s="23">
        <v>79.74</v>
      </c>
      <c r="I106" s="31" t="s">
        <v>16</v>
      </c>
    </row>
    <row r="107" s="2" customFormat="1" ht="30" customHeight="1" spans="1:9">
      <c r="A107" s="19" t="s">
        <v>169</v>
      </c>
      <c r="B107" s="20" t="s">
        <v>12</v>
      </c>
      <c r="C107" s="21" t="s">
        <v>150</v>
      </c>
      <c r="D107" s="22" t="s">
        <v>188</v>
      </c>
      <c r="E107" s="19" t="s">
        <v>189</v>
      </c>
      <c r="F107" s="19">
        <v>56</v>
      </c>
      <c r="G107" s="19"/>
      <c r="H107" s="23">
        <v>79.54</v>
      </c>
      <c r="I107" s="31" t="s">
        <v>16</v>
      </c>
    </row>
    <row r="108" s="2" customFormat="1" ht="30" customHeight="1" spans="1:9">
      <c r="A108" s="19" t="s">
        <v>169</v>
      </c>
      <c r="B108" s="20" t="s">
        <v>12</v>
      </c>
      <c r="C108" s="21" t="s">
        <v>150</v>
      </c>
      <c r="D108" s="22" t="s">
        <v>190</v>
      </c>
      <c r="E108" s="19" t="s">
        <v>191</v>
      </c>
      <c r="F108" s="19">
        <v>66</v>
      </c>
      <c r="G108" s="19"/>
      <c r="H108" s="23">
        <v>79.5</v>
      </c>
      <c r="I108" s="31" t="s">
        <v>16</v>
      </c>
    </row>
    <row r="109" s="2" customFormat="1" ht="30" customHeight="1" spans="1:9">
      <c r="A109" s="19" t="s">
        <v>169</v>
      </c>
      <c r="B109" s="20" t="s">
        <v>12</v>
      </c>
      <c r="C109" s="21" t="s">
        <v>150</v>
      </c>
      <c r="D109" s="22" t="s">
        <v>192</v>
      </c>
      <c r="E109" s="19" t="s">
        <v>193</v>
      </c>
      <c r="F109" s="19">
        <v>61</v>
      </c>
      <c r="G109" s="19"/>
      <c r="H109" s="23">
        <v>79.36</v>
      </c>
      <c r="I109" s="31" t="s">
        <v>16</v>
      </c>
    </row>
    <row r="110" s="2" customFormat="1" ht="30" customHeight="1" spans="1:9">
      <c r="A110" s="19" t="s">
        <v>169</v>
      </c>
      <c r="B110" s="20" t="s">
        <v>12</v>
      </c>
      <c r="C110" s="21" t="s">
        <v>150</v>
      </c>
      <c r="D110" s="22" t="s">
        <v>194</v>
      </c>
      <c r="E110" s="19" t="s">
        <v>195</v>
      </c>
      <c r="F110" s="19">
        <v>41</v>
      </c>
      <c r="G110" s="19"/>
      <c r="H110" s="23">
        <v>79.04</v>
      </c>
      <c r="I110" s="31" t="s">
        <v>16</v>
      </c>
    </row>
    <row r="111" s="2" customFormat="1" ht="30" customHeight="1" spans="1:9">
      <c r="A111" s="19" t="s">
        <v>169</v>
      </c>
      <c r="B111" s="20" t="s">
        <v>12</v>
      </c>
      <c r="C111" s="21" t="s">
        <v>150</v>
      </c>
      <c r="D111" s="22" t="s">
        <v>196</v>
      </c>
      <c r="E111" s="19" t="s">
        <v>197</v>
      </c>
      <c r="F111" s="19">
        <v>26</v>
      </c>
      <c r="G111" s="19"/>
      <c r="H111" s="23">
        <v>78.94</v>
      </c>
      <c r="I111" s="31" t="s">
        <v>16</v>
      </c>
    </row>
    <row r="112" s="2" customFormat="1" ht="30" customHeight="1" spans="1:9">
      <c r="A112" s="19" t="s">
        <v>169</v>
      </c>
      <c r="B112" s="20" t="s">
        <v>12</v>
      </c>
      <c r="C112" s="21" t="s">
        <v>150</v>
      </c>
      <c r="D112" s="22" t="s">
        <v>198</v>
      </c>
      <c r="E112" s="19" t="s">
        <v>199</v>
      </c>
      <c r="F112" s="19">
        <v>15</v>
      </c>
      <c r="G112" s="19"/>
      <c r="H112" s="23">
        <v>78.78</v>
      </c>
      <c r="I112" s="31" t="s">
        <v>16</v>
      </c>
    </row>
    <row r="113" s="2" customFormat="1" ht="30" customHeight="1" spans="1:9">
      <c r="A113" s="19" t="s">
        <v>169</v>
      </c>
      <c r="B113" s="20" t="s">
        <v>12</v>
      </c>
      <c r="C113" s="21" t="s">
        <v>150</v>
      </c>
      <c r="D113" s="22" t="s">
        <v>200</v>
      </c>
      <c r="E113" s="19" t="s">
        <v>201</v>
      </c>
      <c r="F113" s="19">
        <v>22</v>
      </c>
      <c r="G113" s="19"/>
      <c r="H113" s="23">
        <v>78.58</v>
      </c>
      <c r="I113" s="31" t="s">
        <v>16</v>
      </c>
    </row>
    <row r="114" s="2" customFormat="1" ht="30" customHeight="1" spans="1:9">
      <c r="A114" s="19" t="s">
        <v>169</v>
      </c>
      <c r="B114" s="20" t="s">
        <v>12</v>
      </c>
      <c r="C114" s="21" t="s">
        <v>150</v>
      </c>
      <c r="D114" s="22" t="s">
        <v>202</v>
      </c>
      <c r="E114" s="19" t="s">
        <v>203</v>
      </c>
      <c r="F114" s="19">
        <v>63</v>
      </c>
      <c r="G114" s="19"/>
      <c r="H114" s="23">
        <v>78.4</v>
      </c>
      <c r="I114" s="31" t="s">
        <v>16</v>
      </c>
    </row>
    <row r="115" s="2" customFormat="1" ht="30" customHeight="1" spans="1:9">
      <c r="A115" s="19" t="s">
        <v>169</v>
      </c>
      <c r="B115" s="20" t="s">
        <v>12</v>
      </c>
      <c r="C115" s="21" t="s">
        <v>150</v>
      </c>
      <c r="D115" s="22" t="s">
        <v>204</v>
      </c>
      <c r="E115" s="19" t="s">
        <v>205</v>
      </c>
      <c r="F115" s="19">
        <v>32</v>
      </c>
      <c r="G115" s="19"/>
      <c r="H115" s="23">
        <v>78.34</v>
      </c>
      <c r="I115" s="31" t="s">
        <v>16</v>
      </c>
    </row>
    <row r="116" s="2" customFormat="1" ht="30" customHeight="1" spans="1:9">
      <c r="A116" s="19" t="s">
        <v>169</v>
      </c>
      <c r="B116" s="20" t="s">
        <v>12</v>
      </c>
      <c r="C116" s="21" t="s">
        <v>150</v>
      </c>
      <c r="D116" s="24" t="s">
        <v>206</v>
      </c>
      <c r="E116" s="19" t="s">
        <v>207</v>
      </c>
      <c r="F116" s="19">
        <v>35</v>
      </c>
      <c r="G116" s="19"/>
      <c r="H116" s="23">
        <v>78.14</v>
      </c>
      <c r="I116" s="19" t="s">
        <v>33</v>
      </c>
    </row>
    <row r="117" s="2" customFormat="1" ht="30" customHeight="1" spans="1:9">
      <c r="A117" s="19" t="s">
        <v>169</v>
      </c>
      <c r="B117" s="20" t="s">
        <v>12</v>
      </c>
      <c r="C117" s="21" t="s">
        <v>150</v>
      </c>
      <c r="D117" s="24" t="s">
        <v>208</v>
      </c>
      <c r="E117" s="19" t="s">
        <v>209</v>
      </c>
      <c r="F117" s="19">
        <v>28</v>
      </c>
      <c r="G117" s="19"/>
      <c r="H117" s="23">
        <v>78</v>
      </c>
      <c r="I117" s="19" t="s">
        <v>33</v>
      </c>
    </row>
    <row r="118" s="2" customFormat="1" ht="30" customHeight="1" spans="1:9">
      <c r="A118" s="19" t="s">
        <v>169</v>
      </c>
      <c r="B118" s="20" t="s">
        <v>12</v>
      </c>
      <c r="C118" s="21" t="s">
        <v>150</v>
      </c>
      <c r="D118" s="24" t="s">
        <v>210</v>
      </c>
      <c r="E118" s="19" t="s">
        <v>211</v>
      </c>
      <c r="F118" s="19">
        <v>59</v>
      </c>
      <c r="G118" s="19"/>
      <c r="H118" s="23">
        <v>77.94</v>
      </c>
      <c r="I118" s="19" t="s">
        <v>33</v>
      </c>
    </row>
    <row r="119" s="2" customFormat="1" ht="30" customHeight="1" spans="1:9">
      <c r="A119" s="19" t="s">
        <v>169</v>
      </c>
      <c r="B119" s="20" t="s">
        <v>12</v>
      </c>
      <c r="C119" s="21" t="s">
        <v>150</v>
      </c>
      <c r="D119" s="24" t="s">
        <v>212</v>
      </c>
      <c r="E119" s="19" t="s">
        <v>213</v>
      </c>
      <c r="F119" s="19">
        <v>47</v>
      </c>
      <c r="G119" s="19"/>
      <c r="H119" s="23">
        <v>77.68</v>
      </c>
      <c r="I119" s="19" t="s">
        <v>33</v>
      </c>
    </row>
    <row r="120" s="2" customFormat="1" ht="30" customHeight="1" spans="1:9">
      <c r="A120" s="19" t="s">
        <v>169</v>
      </c>
      <c r="B120" s="20" t="s">
        <v>12</v>
      </c>
      <c r="C120" s="21" t="s">
        <v>150</v>
      </c>
      <c r="D120" s="24" t="s">
        <v>214</v>
      </c>
      <c r="E120" s="19" t="s">
        <v>215</v>
      </c>
      <c r="F120" s="19">
        <v>23</v>
      </c>
      <c r="G120" s="19"/>
      <c r="H120" s="23">
        <v>77.68</v>
      </c>
      <c r="I120" s="19" t="s">
        <v>33</v>
      </c>
    </row>
    <row r="121" s="2" customFormat="1" ht="30" customHeight="1" spans="1:9">
      <c r="A121" s="19" t="s">
        <v>169</v>
      </c>
      <c r="B121" s="20" t="s">
        <v>12</v>
      </c>
      <c r="C121" s="21" t="s">
        <v>150</v>
      </c>
      <c r="D121" s="24" t="s">
        <v>216</v>
      </c>
      <c r="E121" s="19" t="s">
        <v>217</v>
      </c>
      <c r="F121" s="19">
        <v>25</v>
      </c>
      <c r="G121" s="19"/>
      <c r="H121" s="23">
        <v>77.58</v>
      </c>
      <c r="I121" s="19" t="s">
        <v>33</v>
      </c>
    </row>
    <row r="122" s="2" customFormat="1" ht="30" customHeight="1" spans="1:9">
      <c r="A122" s="19" t="s">
        <v>169</v>
      </c>
      <c r="B122" s="20" t="s">
        <v>12</v>
      </c>
      <c r="C122" s="21" t="s">
        <v>150</v>
      </c>
      <c r="D122" s="24" t="s">
        <v>218</v>
      </c>
      <c r="E122" s="19" t="s">
        <v>219</v>
      </c>
      <c r="F122" s="19">
        <v>38</v>
      </c>
      <c r="G122" s="19"/>
      <c r="H122" s="23">
        <v>77.26</v>
      </c>
      <c r="I122" s="19" t="s">
        <v>33</v>
      </c>
    </row>
    <row r="123" s="2" customFormat="1" ht="30" customHeight="1" spans="1:9">
      <c r="A123" s="19" t="s">
        <v>169</v>
      </c>
      <c r="B123" s="20" t="s">
        <v>12</v>
      </c>
      <c r="C123" s="21" t="s">
        <v>150</v>
      </c>
      <c r="D123" s="24" t="s">
        <v>220</v>
      </c>
      <c r="E123" s="19" t="s">
        <v>221</v>
      </c>
      <c r="F123" s="19">
        <v>7</v>
      </c>
      <c r="G123" s="19"/>
      <c r="H123" s="23">
        <v>77.2</v>
      </c>
      <c r="I123" s="19" t="s">
        <v>33</v>
      </c>
    </row>
    <row r="124" s="2" customFormat="1" ht="30" customHeight="1" spans="1:9">
      <c r="A124" s="19" t="s">
        <v>169</v>
      </c>
      <c r="B124" s="20" t="s">
        <v>12</v>
      </c>
      <c r="C124" s="21" t="s">
        <v>150</v>
      </c>
      <c r="D124" s="24" t="s">
        <v>222</v>
      </c>
      <c r="E124" s="19" t="s">
        <v>223</v>
      </c>
      <c r="F124" s="19">
        <v>11</v>
      </c>
      <c r="G124" s="19"/>
      <c r="H124" s="23">
        <v>76.9</v>
      </c>
      <c r="I124" s="19" t="s">
        <v>33</v>
      </c>
    </row>
    <row r="125" s="2" customFormat="1" ht="30" customHeight="1" spans="1:9">
      <c r="A125" s="19" t="s">
        <v>169</v>
      </c>
      <c r="B125" s="20" t="s">
        <v>12</v>
      </c>
      <c r="C125" s="21" t="s">
        <v>150</v>
      </c>
      <c r="D125" s="24" t="s">
        <v>224</v>
      </c>
      <c r="E125" s="19" t="s">
        <v>225</v>
      </c>
      <c r="F125" s="19">
        <v>36</v>
      </c>
      <c r="G125" s="19"/>
      <c r="H125" s="23">
        <v>76.72</v>
      </c>
      <c r="I125" s="19" t="s">
        <v>33</v>
      </c>
    </row>
    <row r="126" s="2" customFormat="1" ht="30" customHeight="1" spans="1:9">
      <c r="A126" s="19" t="s">
        <v>169</v>
      </c>
      <c r="B126" s="20" t="s">
        <v>12</v>
      </c>
      <c r="C126" s="21" t="s">
        <v>150</v>
      </c>
      <c r="D126" s="24" t="s">
        <v>226</v>
      </c>
      <c r="E126" s="19" t="s">
        <v>227</v>
      </c>
      <c r="F126" s="19">
        <v>9</v>
      </c>
      <c r="G126" s="19"/>
      <c r="H126" s="23">
        <v>76.7</v>
      </c>
      <c r="I126" s="19" t="s">
        <v>33</v>
      </c>
    </row>
    <row r="127" s="2" customFormat="1" ht="30" customHeight="1" spans="1:9">
      <c r="A127" s="19" t="s">
        <v>169</v>
      </c>
      <c r="B127" s="20" t="s">
        <v>12</v>
      </c>
      <c r="C127" s="21" t="s">
        <v>150</v>
      </c>
      <c r="D127" s="24" t="s">
        <v>228</v>
      </c>
      <c r="E127" s="19" t="s">
        <v>229</v>
      </c>
      <c r="F127" s="19">
        <v>55</v>
      </c>
      <c r="G127" s="19"/>
      <c r="H127" s="23">
        <v>76.28</v>
      </c>
      <c r="I127" s="19" t="s">
        <v>33</v>
      </c>
    </row>
    <row r="128" s="2" customFormat="1" ht="30" customHeight="1" spans="1:9">
      <c r="A128" s="19" t="s">
        <v>169</v>
      </c>
      <c r="B128" s="20" t="s">
        <v>12</v>
      </c>
      <c r="C128" s="21" t="s">
        <v>150</v>
      </c>
      <c r="D128" s="24" t="s">
        <v>230</v>
      </c>
      <c r="E128" s="19" t="s">
        <v>231</v>
      </c>
      <c r="F128" s="19">
        <v>37</v>
      </c>
      <c r="G128" s="19"/>
      <c r="H128" s="23">
        <v>76.24</v>
      </c>
      <c r="I128" s="19" t="s">
        <v>33</v>
      </c>
    </row>
    <row r="129" s="2" customFormat="1" ht="30" customHeight="1" spans="1:9">
      <c r="A129" s="19" t="s">
        <v>169</v>
      </c>
      <c r="B129" s="20" t="s">
        <v>12</v>
      </c>
      <c r="C129" s="21" t="s">
        <v>150</v>
      </c>
      <c r="D129" s="24" t="s">
        <v>232</v>
      </c>
      <c r="E129" s="19" t="s">
        <v>233</v>
      </c>
      <c r="F129" s="19">
        <v>1</v>
      </c>
      <c r="G129" s="19"/>
      <c r="H129" s="23">
        <v>76.18</v>
      </c>
      <c r="I129" s="19" t="s">
        <v>33</v>
      </c>
    </row>
    <row r="130" s="2" customFormat="1" ht="30" customHeight="1" spans="1:9">
      <c r="A130" s="19" t="s">
        <v>169</v>
      </c>
      <c r="B130" s="20" t="s">
        <v>12</v>
      </c>
      <c r="C130" s="21" t="s">
        <v>150</v>
      </c>
      <c r="D130" s="24" t="s">
        <v>234</v>
      </c>
      <c r="E130" s="19" t="s">
        <v>235</v>
      </c>
      <c r="F130" s="19">
        <v>53</v>
      </c>
      <c r="G130" s="19"/>
      <c r="H130" s="23">
        <v>75.88</v>
      </c>
      <c r="I130" s="19" t="s">
        <v>33</v>
      </c>
    </row>
    <row r="131" s="2" customFormat="1" ht="30" customHeight="1" spans="1:9">
      <c r="A131" s="19" t="s">
        <v>169</v>
      </c>
      <c r="B131" s="20" t="s">
        <v>12</v>
      </c>
      <c r="C131" s="21" t="s">
        <v>150</v>
      </c>
      <c r="D131" s="24" t="s">
        <v>236</v>
      </c>
      <c r="E131" s="19" t="s">
        <v>237</v>
      </c>
      <c r="F131" s="19">
        <v>21</v>
      </c>
      <c r="G131" s="19"/>
      <c r="H131" s="23">
        <v>75.46</v>
      </c>
      <c r="I131" s="19" t="s">
        <v>33</v>
      </c>
    </row>
    <row r="132" s="2" customFormat="1" ht="30" customHeight="1" spans="1:9">
      <c r="A132" s="19" t="s">
        <v>169</v>
      </c>
      <c r="B132" s="20" t="s">
        <v>12</v>
      </c>
      <c r="C132" s="21" t="s">
        <v>150</v>
      </c>
      <c r="D132" s="24" t="s">
        <v>238</v>
      </c>
      <c r="E132" s="19" t="s">
        <v>239</v>
      </c>
      <c r="F132" s="19">
        <v>2</v>
      </c>
      <c r="G132" s="19"/>
      <c r="H132" s="23">
        <v>75.36</v>
      </c>
      <c r="I132" s="19" t="s">
        <v>33</v>
      </c>
    </row>
    <row r="133" s="2" customFormat="1" ht="30" customHeight="1" spans="1:9">
      <c r="A133" s="19" t="s">
        <v>169</v>
      </c>
      <c r="B133" s="20" t="s">
        <v>12</v>
      </c>
      <c r="C133" s="21" t="s">
        <v>150</v>
      </c>
      <c r="D133" s="24" t="s">
        <v>240</v>
      </c>
      <c r="E133" s="19" t="s">
        <v>241</v>
      </c>
      <c r="F133" s="19">
        <v>12</v>
      </c>
      <c r="G133" s="19"/>
      <c r="H133" s="23">
        <v>75.18</v>
      </c>
      <c r="I133" s="19" t="s">
        <v>33</v>
      </c>
    </row>
    <row r="134" s="2" customFormat="1" ht="30" customHeight="1" spans="1:9">
      <c r="A134" s="19" t="s">
        <v>169</v>
      </c>
      <c r="B134" s="20" t="s">
        <v>12</v>
      </c>
      <c r="C134" s="21" t="s">
        <v>150</v>
      </c>
      <c r="D134" s="24" t="s">
        <v>242</v>
      </c>
      <c r="E134" s="19" t="s">
        <v>243</v>
      </c>
      <c r="F134" s="19">
        <v>65</v>
      </c>
      <c r="G134" s="19"/>
      <c r="H134" s="23">
        <v>74.56</v>
      </c>
      <c r="I134" s="19" t="s">
        <v>33</v>
      </c>
    </row>
    <row r="135" s="2" customFormat="1" ht="30" customHeight="1" spans="1:9">
      <c r="A135" s="19" t="s">
        <v>169</v>
      </c>
      <c r="B135" s="20" t="s">
        <v>12</v>
      </c>
      <c r="C135" s="21" t="s">
        <v>150</v>
      </c>
      <c r="D135" s="24" t="s">
        <v>244</v>
      </c>
      <c r="E135" s="19" t="s">
        <v>245</v>
      </c>
      <c r="F135" s="19">
        <v>17</v>
      </c>
      <c r="G135" s="19"/>
      <c r="H135" s="23">
        <v>73.86</v>
      </c>
      <c r="I135" s="19" t="s">
        <v>33</v>
      </c>
    </row>
    <row r="136" s="2" customFormat="1" ht="30" customHeight="1" spans="1:9">
      <c r="A136" s="19" t="s">
        <v>169</v>
      </c>
      <c r="B136" s="20" t="s">
        <v>12</v>
      </c>
      <c r="C136" s="21" t="s">
        <v>150</v>
      </c>
      <c r="D136" s="24" t="s">
        <v>246</v>
      </c>
      <c r="E136" s="19" t="s">
        <v>247</v>
      </c>
      <c r="F136" s="19">
        <v>10</v>
      </c>
      <c r="G136" s="19"/>
      <c r="H136" s="23">
        <v>73.38</v>
      </c>
      <c r="I136" s="19" t="s">
        <v>33</v>
      </c>
    </row>
    <row r="137" s="2" customFormat="1" ht="30" customHeight="1" spans="1:9">
      <c r="A137" s="19" t="s">
        <v>169</v>
      </c>
      <c r="B137" s="20" t="s">
        <v>12</v>
      </c>
      <c r="C137" s="21" t="s">
        <v>150</v>
      </c>
      <c r="D137" s="24" t="s">
        <v>248</v>
      </c>
      <c r="E137" s="19" t="s">
        <v>249</v>
      </c>
      <c r="F137" s="19">
        <v>24</v>
      </c>
      <c r="G137" s="19"/>
      <c r="H137" s="23">
        <v>72.84</v>
      </c>
      <c r="I137" s="19" t="s">
        <v>33</v>
      </c>
    </row>
    <row r="138" s="2" customFormat="1" ht="30" customHeight="1" spans="1:9">
      <c r="A138" s="19" t="s">
        <v>169</v>
      </c>
      <c r="B138" s="20" t="s">
        <v>12</v>
      </c>
      <c r="C138" s="21" t="s">
        <v>150</v>
      </c>
      <c r="D138" s="24" t="s">
        <v>250</v>
      </c>
      <c r="E138" s="19" t="s">
        <v>251</v>
      </c>
      <c r="F138" s="19">
        <v>30</v>
      </c>
      <c r="G138" s="19"/>
      <c r="H138" s="23">
        <v>71.74</v>
      </c>
      <c r="I138" s="19" t="s">
        <v>33</v>
      </c>
    </row>
    <row r="139" s="2" customFormat="1" ht="30" customHeight="1" spans="1:9">
      <c r="A139" s="19" t="s">
        <v>169</v>
      </c>
      <c r="B139" s="20" t="s">
        <v>12</v>
      </c>
      <c r="C139" s="21" t="s">
        <v>150</v>
      </c>
      <c r="D139" s="24" t="s">
        <v>252</v>
      </c>
      <c r="E139" s="19" t="s">
        <v>253</v>
      </c>
      <c r="F139" s="19">
        <v>50</v>
      </c>
      <c r="G139" s="19"/>
      <c r="H139" s="25">
        <v>-1</v>
      </c>
      <c r="I139" s="19" t="s">
        <v>33</v>
      </c>
    </row>
    <row r="140" s="2" customFormat="1" ht="30" customHeight="1" spans="1:9">
      <c r="A140" s="19" t="s">
        <v>254</v>
      </c>
      <c r="B140" s="20" t="s">
        <v>255</v>
      </c>
      <c r="C140" s="21" t="s">
        <v>150</v>
      </c>
      <c r="D140" s="22" t="s">
        <v>256</v>
      </c>
      <c r="E140" s="19" t="s">
        <v>257</v>
      </c>
      <c r="F140" s="19">
        <v>29</v>
      </c>
      <c r="G140" s="19" t="s">
        <v>258</v>
      </c>
      <c r="H140" s="23">
        <v>78.72</v>
      </c>
      <c r="I140" s="31" t="s">
        <v>16</v>
      </c>
    </row>
    <row r="141" s="2" customFormat="1" ht="30" customHeight="1" spans="1:9">
      <c r="A141" s="19" t="s">
        <v>254</v>
      </c>
      <c r="B141" s="20" t="s">
        <v>255</v>
      </c>
      <c r="C141" s="21" t="s">
        <v>150</v>
      </c>
      <c r="D141" s="22" t="s">
        <v>259</v>
      </c>
      <c r="E141" s="19" t="s">
        <v>260</v>
      </c>
      <c r="F141" s="19">
        <v>8</v>
      </c>
      <c r="G141" s="19" t="s">
        <v>258</v>
      </c>
      <c r="H141" s="23">
        <v>78.22</v>
      </c>
      <c r="I141" s="31" t="s">
        <v>16</v>
      </c>
    </row>
    <row r="142" s="2" customFormat="1" ht="30" customHeight="1" spans="1:9">
      <c r="A142" s="19" t="s">
        <v>254</v>
      </c>
      <c r="B142" s="20" t="s">
        <v>255</v>
      </c>
      <c r="C142" s="21" t="s">
        <v>150</v>
      </c>
      <c r="D142" s="22" t="s">
        <v>261</v>
      </c>
      <c r="E142" s="19" t="s">
        <v>262</v>
      </c>
      <c r="F142" s="19">
        <v>49</v>
      </c>
      <c r="G142" s="19" t="s">
        <v>258</v>
      </c>
      <c r="H142" s="23">
        <v>77.16</v>
      </c>
      <c r="I142" s="31" t="s">
        <v>16</v>
      </c>
    </row>
    <row r="143" s="2" customFormat="1" ht="30" customHeight="1" spans="1:9">
      <c r="A143" s="19" t="s">
        <v>254</v>
      </c>
      <c r="B143" s="20" t="s">
        <v>255</v>
      </c>
      <c r="C143" s="21" t="s">
        <v>150</v>
      </c>
      <c r="D143" s="22" t="s">
        <v>263</v>
      </c>
      <c r="E143" s="19" t="s">
        <v>264</v>
      </c>
      <c r="F143" s="19">
        <v>43</v>
      </c>
      <c r="G143" s="19" t="s">
        <v>258</v>
      </c>
      <c r="H143" s="23">
        <v>73.58</v>
      </c>
      <c r="I143" s="31" t="s">
        <v>16</v>
      </c>
    </row>
    <row r="144" s="2" customFormat="1" ht="30" customHeight="1" spans="1:9">
      <c r="A144" s="19" t="s">
        <v>254</v>
      </c>
      <c r="B144" s="20" t="s">
        <v>255</v>
      </c>
      <c r="C144" s="21" t="s">
        <v>150</v>
      </c>
      <c r="D144" s="22" t="s">
        <v>265</v>
      </c>
      <c r="E144" s="19" t="s">
        <v>266</v>
      </c>
      <c r="F144" s="19">
        <v>58</v>
      </c>
      <c r="G144" s="19" t="s">
        <v>258</v>
      </c>
      <c r="H144" s="23">
        <v>72.92</v>
      </c>
      <c r="I144" s="31" t="s">
        <v>16</v>
      </c>
    </row>
    <row r="145" s="2" customFormat="1" ht="30" customHeight="1" spans="1:9">
      <c r="A145" s="19" t="s">
        <v>254</v>
      </c>
      <c r="B145" s="20" t="s">
        <v>255</v>
      </c>
      <c r="C145" s="21" t="s">
        <v>150</v>
      </c>
      <c r="D145" s="22" t="s">
        <v>267</v>
      </c>
      <c r="E145" s="19" t="s">
        <v>268</v>
      </c>
      <c r="F145" s="19">
        <v>42</v>
      </c>
      <c r="G145" s="19" t="s">
        <v>258</v>
      </c>
      <c r="H145" s="23">
        <v>72.06</v>
      </c>
      <c r="I145" s="31" t="s">
        <v>16</v>
      </c>
    </row>
    <row r="146" s="2" customFormat="1" ht="30" customHeight="1" spans="1:9">
      <c r="A146" s="19" t="s">
        <v>254</v>
      </c>
      <c r="B146" s="20" t="s">
        <v>255</v>
      </c>
      <c r="C146" s="21" t="s">
        <v>150</v>
      </c>
      <c r="D146" s="24" t="s">
        <v>269</v>
      </c>
      <c r="E146" s="19" t="s">
        <v>270</v>
      </c>
      <c r="F146" s="19">
        <v>67</v>
      </c>
      <c r="G146" s="33" t="s">
        <v>271</v>
      </c>
      <c r="H146" s="34">
        <v>0</v>
      </c>
      <c r="I146" s="19" t="s">
        <v>33</v>
      </c>
    </row>
    <row r="147" s="2" customFormat="1" ht="30" customHeight="1" spans="1:9">
      <c r="A147" s="19" t="s">
        <v>272</v>
      </c>
      <c r="B147" s="26" t="s">
        <v>273</v>
      </c>
      <c r="C147" s="21" t="s">
        <v>150</v>
      </c>
      <c r="D147" s="22" t="s">
        <v>274</v>
      </c>
      <c r="E147" s="19" t="s">
        <v>275</v>
      </c>
      <c r="F147" s="19">
        <v>49</v>
      </c>
      <c r="G147" s="19"/>
      <c r="H147" s="23">
        <v>76.64</v>
      </c>
      <c r="I147" s="31" t="s">
        <v>16</v>
      </c>
    </row>
    <row r="148" s="2" customFormat="1" ht="30" customHeight="1" spans="1:9">
      <c r="A148" s="19" t="s">
        <v>272</v>
      </c>
      <c r="B148" s="26" t="s">
        <v>273</v>
      </c>
      <c r="C148" s="21" t="s">
        <v>150</v>
      </c>
      <c r="D148" s="24" t="s">
        <v>276</v>
      </c>
      <c r="E148" s="19" t="s">
        <v>277</v>
      </c>
      <c r="F148" s="19">
        <v>45</v>
      </c>
      <c r="G148" s="19"/>
      <c r="H148" s="23">
        <v>74.9</v>
      </c>
      <c r="I148" s="19" t="s">
        <v>33</v>
      </c>
    </row>
    <row r="149" s="2" customFormat="1" ht="30" customHeight="1" spans="1:9">
      <c r="A149" s="19" t="s">
        <v>272</v>
      </c>
      <c r="B149" s="26" t="s">
        <v>273</v>
      </c>
      <c r="C149" s="21" t="s">
        <v>150</v>
      </c>
      <c r="D149" s="24" t="s">
        <v>278</v>
      </c>
      <c r="E149" s="19" t="s">
        <v>279</v>
      </c>
      <c r="F149" s="19">
        <v>31</v>
      </c>
      <c r="G149" s="19"/>
      <c r="H149" s="23">
        <v>73.32</v>
      </c>
      <c r="I149" s="19" t="s">
        <v>33</v>
      </c>
    </row>
    <row r="150" s="2" customFormat="1" ht="30" customHeight="1" spans="1:9">
      <c r="A150" s="19" t="s">
        <v>280</v>
      </c>
      <c r="B150" s="26" t="s">
        <v>281</v>
      </c>
      <c r="C150" s="21" t="s">
        <v>150</v>
      </c>
      <c r="D150" s="22" t="s">
        <v>282</v>
      </c>
      <c r="E150" s="19" t="s">
        <v>283</v>
      </c>
      <c r="F150" s="19">
        <v>33</v>
      </c>
      <c r="G150" s="19"/>
      <c r="H150" s="23">
        <v>74.92</v>
      </c>
      <c r="I150" s="31" t="s">
        <v>16</v>
      </c>
    </row>
    <row r="151" s="2" customFormat="1" ht="30" customHeight="1" spans="1:9">
      <c r="A151" s="27" t="s">
        <v>284</v>
      </c>
      <c r="B151" s="27" t="s">
        <v>285</v>
      </c>
      <c r="C151" s="21" t="s">
        <v>150</v>
      </c>
      <c r="D151" s="28" t="s">
        <v>286</v>
      </c>
      <c r="E151" s="27" t="s">
        <v>287</v>
      </c>
      <c r="F151" s="27">
        <v>16</v>
      </c>
      <c r="G151" s="27"/>
      <c r="H151" s="29">
        <v>79.02</v>
      </c>
      <c r="I151" s="31" t="s">
        <v>16</v>
      </c>
    </row>
    <row r="152" s="2" customFormat="1" ht="30" customHeight="1" spans="1:9">
      <c r="A152" s="27" t="s">
        <v>284</v>
      </c>
      <c r="B152" s="27" t="s">
        <v>285</v>
      </c>
      <c r="C152" s="21" t="s">
        <v>150</v>
      </c>
      <c r="D152" s="28" t="s">
        <v>288</v>
      </c>
      <c r="E152" s="27" t="s">
        <v>289</v>
      </c>
      <c r="F152" s="27">
        <v>34</v>
      </c>
      <c r="G152" s="27"/>
      <c r="H152" s="29">
        <v>75</v>
      </c>
      <c r="I152" s="31" t="s">
        <v>16</v>
      </c>
    </row>
    <row r="153" s="2" customFormat="1" ht="30" customHeight="1" spans="1:9">
      <c r="A153" s="27" t="s">
        <v>284</v>
      </c>
      <c r="B153" s="27" t="s">
        <v>285</v>
      </c>
      <c r="C153" s="21" t="s">
        <v>150</v>
      </c>
      <c r="D153" s="28" t="s">
        <v>290</v>
      </c>
      <c r="E153" s="27" t="s">
        <v>291</v>
      </c>
      <c r="F153" s="27">
        <v>46</v>
      </c>
      <c r="G153" s="27"/>
      <c r="H153" s="29">
        <v>72.34</v>
      </c>
      <c r="I153" s="31" t="s">
        <v>16</v>
      </c>
    </row>
    <row r="154" s="2" customFormat="1" ht="30" customHeight="1" spans="1:9">
      <c r="A154" s="27" t="s">
        <v>284</v>
      </c>
      <c r="B154" s="27" t="s">
        <v>285</v>
      </c>
      <c r="C154" s="21" t="s">
        <v>150</v>
      </c>
      <c r="D154" s="35" t="s">
        <v>292</v>
      </c>
      <c r="E154" s="27" t="s">
        <v>293</v>
      </c>
      <c r="F154" s="27">
        <v>52</v>
      </c>
      <c r="G154" s="27"/>
      <c r="H154" s="36">
        <v>-1</v>
      </c>
      <c r="I154" s="19" t="s">
        <v>33</v>
      </c>
    </row>
    <row r="155" s="2" customFormat="1" ht="30" customHeight="1" spans="1:9">
      <c r="A155" s="19" t="s">
        <v>294</v>
      </c>
      <c r="B155" s="26" t="s">
        <v>295</v>
      </c>
      <c r="C155" s="21" t="s">
        <v>150</v>
      </c>
      <c r="D155" s="22" t="s">
        <v>296</v>
      </c>
      <c r="E155" s="19" t="s">
        <v>297</v>
      </c>
      <c r="F155" s="19">
        <v>5</v>
      </c>
      <c r="G155" s="19"/>
      <c r="H155" s="23">
        <v>77.4</v>
      </c>
      <c r="I155" s="31" t="s">
        <v>16</v>
      </c>
    </row>
    <row r="156" s="2" customFormat="1" ht="30" customHeight="1" spans="1:9">
      <c r="A156" s="19" t="s">
        <v>294</v>
      </c>
      <c r="B156" s="26" t="s">
        <v>295</v>
      </c>
      <c r="C156" s="21" t="s">
        <v>150</v>
      </c>
      <c r="D156" s="24" t="s">
        <v>298</v>
      </c>
      <c r="E156" s="19" t="s">
        <v>299</v>
      </c>
      <c r="F156" s="19">
        <v>16</v>
      </c>
      <c r="G156" s="19"/>
      <c r="H156" s="25">
        <v>-1</v>
      </c>
      <c r="I156" s="19" t="s">
        <v>33</v>
      </c>
    </row>
    <row r="157" s="2" customFormat="1" ht="30" customHeight="1" spans="1:9">
      <c r="A157" s="27" t="s">
        <v>300</v>
      </c>
      <c r="B157" s="27" t="s">
        <v>285</v>
      </c>
      <c r="C157" s="21" t="s">
        <v>301</v>
      </c>
      <c r="D157" s="28" t="s">
        <v>302</v>
      </c>
      <c r="E157" s="27" t="s">
        <v>303</v>
      </c>
      <c r="F157" s="27">
        <v>47</v>
      </c>
      <c r="G157" s="27"/>
      <c r="H157" s="29">
        <v>76.9</v>
      </c>
      <c r="I157" s="31" t="s">
        <v>16</v>
      </c>
    </row>
    <row r="158" s="2" customFormat="1" ht="30" customHeight="1" spans="1:9">
      <c r="A158" s="27" t="s">
        <v>300</v>
      </c>
      <c r="B158" s="27" t="s">
        <v>285</v>
      </c>
      <c r="C158" s="21" t="s">
        <v>301</v>
      </c>
      <c r="D158" s="28" t="s">
        <v>304</v>
      </c>
      <c r="E158" s="27" t="s">
        <v>305</v>
      </c>
      <c r="F158" s="27">
        <v>55</v>
      </c>
      <c r="G158" s="27"/>
      <c r="H158" s="29">
        <v>76</v>
      </c>
      <c r="I158" s="31" t="s">
        <v>16</v>
      </c>
    </row>
    <row r="159" s="2" customFormat="1" ht="30" customHeight="1" spans="1:9">
      <c r="A159" s="27" t="s">
        <v>300</v>
      </c>
      <c r="B159" s="27" t="s">
        <v>285</v>
      </c>
      <c r="C159" s="21" t="s">
        <v>301</v>
      </c>
      <c r="D159" s="28" t="s">
        <v>306</v>
      </c>
      <c r="E159" s="27" t="s">
        <v>307</v>
      </c>
      <c r="F159" s="27">
        <v>13</v>
      </c>
      <c r="G159" s="27"/>
      <c r="H159" s="29">
        <v>75.74</v>
      </c>
      <c r="I159" s="31" t="s">
        <v>16</v>
      </c>
    </row>
    <row r="160" s="2" customFormat="1" ht="30" customHeight="1" spans="1:9">
      <c r="A160" s="27" t="s">
        <v>300</v>
      </c>
      <c r="B160" s="27" t="s">
        <v>285</v>
      </c>
      <c r="C160" s="21" t="s">
        <v>301</v>
      </c>
      <c r="D160" s="28" t="s">
        <v>308</v>
      </c>
      <c r="E160" s="27" t="s">
        <v>309</v>
      </c>
      <c r="F160" s="27">
        <v>7</v>
      </c>
      <c r="G160" s="27"/>
      <c r="H160" s="29">
        <v>75.16</v>
      </c>
      <c r="I160" s="31" t="s">
        <v>16</v>
      </c>
    </row>
    <row r="161" s="2" customFormat="1" ht="30" customHeight="1" spans="1:9">
      <c r="A161" s="27" t="s">
        <v>300</v>
      </c>
      <c r="B161" s="27" t="s">
        <v>285</v>
      </c>
      <c r="C161" s="21" t="s">
        <v>301</v>
      </c>
      <c r="D161" s="28" t="s">
        <v>310</v>
      </c>
      <c r="E161" s="27" t="s">
        <v>311</v>
      </c>
      <c r="F161" s="27">
        <v>11</v>
      </c>
      <c r="G161" s="27"/>
      <c r="H161" s="29">
        <v>74.74</v>
      </c>
      <c r="I161" s="31" t="s">
        <v>16</v>
      </c>
    </row>
    <row r="162" s="2" customFormat="1" ht="30" customHeight="1" spans="1:9">
      <c r="A162" s="27" t="s">
        <v>300</v>
      </c>
      <c r="B162" s="27" t="s">
        <v>285</v>
      </c>
      <c r="C162" s="21" t="s">
        <v>301</v>
      </c>
      <c r="D162" s="28" t="s">
        <v>312</v>
      </c>
      <c r="E162" s="27" t="s">
        <v>313</v>
      </c>
      <c r="F162" s="27">
        <v>12</v>
      </c>
      <c r="G162" s="27"/>
      <c r="H162" s="29">
        <v>74.62</v>
      </c>
      <c r="I162" s="31" t="s">
        <v>16</v>
      </c>
    </row>
    <row r="163" s="2" customFormat="1" ht="30" customHeight="1" spans="1:9">
      <c r="A163" s="27" t="s">
        <v>300</v>
      </c>
      <c r="B163" s="27" t="s">
        <v>285</v>
      </c>
      <c r="C163" s="21" t="s">
        <v>301</v>
      </c>
      <c r="D163" s="28" t="s">
        <v>314</v>
      </c>
      <c r="E163" s="27" t="s">
        <v>315</v>
      </c>
      <c r="F163" s="27">
        <v>50</v>
      </c>
      <c r="G163" s="27"/>
      <c r="H163" s="29">
        <v>74.12</v>
      </c>
      <c r="I163" s="31" t="s">
        <v>16</v>
      </c>
    </row>
    <row r="164" s="2" customFormat="1" ht="30" customHeight="1" spans="1:9">
      <c r="A164" s="27" t="s">
        <v>300</v>
      </c>
      <c r="B164" s="27" t="s">
        <v>285</v>
      </c>
      <c r="C164" s="21" t="s">
        <v>301</v>
      </c>
      <c r="D164" s="28" t="s">
        <v>316</v>
      </c>
      <c r="E164" s="27" t="s">
        <v>317</v>
      </c>
      <c r="F164" s="27">
        <v>42</v>
      </c>
      <c r="G164" s="27"/>
      <c r="H164" s="29">
        <v>72.6</v>
      </c>
      <c r="I164" s="31" t="s">
        <v>16</v>
      </c>
    </row>
    <row r="165" s="2" customFormat="1" ht="30" customHeight="1" spans="1:9">
      <c r="A165" s="27" t="s">
        <v>300</v>
      </c>
      <c r="B165" s="27" t="s">
        <v>285</v>
      </c>
      <c r="C165" s="21" t="s">
        <v>301</v>
      </c>
      <c r="D165" s="28" t="s">
        <v>318</v>
      </c>
      <c r="E165" s="27" t="s">
        <v>319</v>
      </c>
      <c r="F165" s="27">
        <v>30</v>
      </c>
      <c r="G165" s="27"/>
      <c r="H165" s="29">
        <v>72.48</v>
      </c>
      <c r="I165" s="31" t="s">
        <v>16</v>
      </c>
    </row>
    <row r="166" s="2" customFormat="1" ht="30" customHeight="1" spans="1:9">
      <c r="A166" s="27" t="s">
        <v>300</v>
      </c>
      <c r="B166" s="27" t="s">
        <v>285</v>
      </c>
      <c r="C166" s="21" t="s">
        <v>301</v>
      </c>
      <c r="D166" s="35" t="s">
        <v>320</v>
      </c>
      <c r="E166" s="27" t="s">
        <v>321</v>
      </c>
      <c r="F166" s="27">
        <v>53</v>
      </c>
      <c r="G166" s="27"/>
      <c r="H166" s="36">
        <v>-1</v>
      </c>
      <c r="I166" s="19" t="s">
        <v>33</v>
      </c>
    </row>
    <row r="167" s="2" customFormat="1" ht="30" customHeight="1" spans="1:9">
      <c r="A167" s="19" t="s">
        <v>322</v>
      </c>
      <c r="B167" s="26" t="s">
        <v>117</v>
      </c>
      <c r="C167" s="21" t="s">
        <v>301</v>
      </c>
      <c r="D167" s="22" t="s">
        <v>323</v>
      </c>
      <c r="E167" s="19" t="s">
        <v>324</v>
      </c>
      <c r="F167" s="19">
        <v>2</v>
      </c>
      <c r="G167" s="19"/>
      <c r="H167" s="23">
        <v>77.62</v>
      </c>
      <c r="I167" s="31" t="s">
        <v>16</v>
      </c>
    </row>
    <row r="168" s="2" customFormat="1" ht="30" customHeight="1" spans="1:9">
      <c r="A168" s="19" t="s">
        <v>322</v>
      </c>
      <c r="B168" s="26" t="s">
        <v>117</v>
      </c>
      <c r="C168" s="21" t="s">
        <v>301</v>
      </c>
      <c r="D168" s="22" t="s">
        <v>325</v>
      </c>
      <c r="E168" s="19" t="s">
        <v>326</v>
      </c>
      <c r="F168" s="19">
        <v>7</v>
      </c>
      <c r="G168" s="19"/>
      <c r="H168" s="23">
        <v>76.06</v>
      </c>
      <c r="I168" s="31" t="s">
        <v>16</v>
      </c>
    </row>
    <row r="169" s="2" customFormat="1" ht="30" customHeight="1" spans="1:9">
      <c r="A169" s="19" t="s">
        <v>322</v>
      </c>
      <c r="B169" s="26" t="s">
        <v>117</v>
      </c>
      <c r="C169" s="21" t="s">
        <v>301</v>
      </c>
      <c r="D169" s="22" t="s">
        <v>327</v>
      </c>
      <c r="E169" s="19" t="s">
        <v>328</v>
      </c>
      <c r="F169" s="19">
        <v>10</v>
      </c>
      <c r="G169" s="19"/>
      <c r="H169" s="23">
        <v>74.74</v>
      </c>
      <c r="I169" s="31" t="s">
        <v>16</v>
      </c>
    </row>
    <row r="170" s="2" customFormat="1" ht="30" customHeight="1" spans="1:9">
      <c r="A170" s="19" t="s">
        <v>322</v>
      </c>
      <c r="B170" s="26" t="s">
        <v>117</v>
      </c>
      <c r="C170" s="21" t="s">
        <v>301</v>
      </c>
      <c r="D170" s="22" t="s">
        <v>329</v>
      </c>
      <c r="E170" s="19" t="s">
        <v>330</v>
      </c>
      <c r="F170" s="19">
        <v>22</v>
      </c>
      <c r="G170" s="19"/>
      <c r="H170" s="23">
        <v>73.9</v>
      </c>
      <c r="I170" s="31" t="s">
        <v>16</v>
      </c>
    </row>
    <row r="171" s="2" customFormat="1" ht="30" customHeight="1" spans="1:9">
      <c r="A171" s="19" t="s">
        <v>322</v>
      </c>
      <c r="B171" s="26" t="s">
        <v>117</v>
      </c>
      <c r="C171" s="21" t="s">
        <v>301</v>
      </c>
      <c r="D171" s="22" t="s">
        <v>331</v>
      </c>
      <c r="E171" s="19" t="s">
        <v>332</v>
      </c>
      <c r="F171" s="19">
        <v>4</v>
      </c>
      <c r="G171" s="19"/>
      <c r="H171" s="23">
        <v>71.44</v>
      </c>
      <c r="I171" s="31" t="s">
        <v>16</v>
      </c>
    </row>
    <row r="172" s="2" customFormat="1" ht="30" customHeight="1" spans="1:9">
      <c r="A172" s="19" t="s">
        <v>322</v>
      </c>
      <c r="B172" s="26" t="s">
        <v>117</v>
      </c>
      <c r="C172" s="21" t="s">
        <v>301</v>
      </c>
      <c r="D172" s="24" t="s">
        <v>333</v>
      </c>
      <c r="E172" s="19" t="s">
        <v>334</v>
      </c>
      <c r="F172" s="19">
        <v>25</v>
      </c>
      <c r="G172" s="19"/>
      <c r="H172" s="25">
        <v>-1</v>
      </c>
      <c r="I172" s="19" t="s">
        <v>33</v>
      </c>
    </row>
    <row r="173" s="2" customFormat="1" ht="30" customHeight="1" spans="1:9">
      <c r="A173" s="19" t="s">
        <v>322</v>
      </c>
      <c r="B173" s="26" t="s">
        <v>117</v>
      </c>
      <c r="C173" s="21" t="s">
        <v>301</v>
      </c>
      <c r="D173" s="24" t="s">
        <v>335</v>
      </c>
      <c r="E173" s="19" t="s">
        <v>336</v>
      </c>
      <c r="F173" s="19">
        <v>26</v>
      </c>
      <c r="G173" s="19"/>
      <c r="H173" s="25">
        <v>-1</v>
      </c>
      <c r="I173" s="19" t="s">
        <v>33</v>
      </c>
    </row>
    <row r="174" s="2" customFormat="1" ht="30" customHeight="1" spans="1:9">
      <c r="A174" s="19" t="str">
        <f t="shared" ref="A174:A210" si="1">"338"</f>
        <v>338</v>
      </c>
      <c r="B174" s="26" t="s">
        <v>337</v>
      </c>
      <c r="C174" s="21" t="s">
        <v>301</v>
      </c>
      <c r="D174" s="22" t="str">
        <f>"闫姣"</f>
        <v>闫姣</v>
      </c>
      <c r="E174" s="19" t="str">
        <f>"24338020804"</f>
        <v>24338020804</v>
      </c>
      <c r="F174" s="19">
        <v>63</v>
      </c>
      <c r="G174" s="19"/>
      <c r="H174" s="19">
        <v>80.48</v>
      </c>
      <c r="I174" s="31" t="s">
        <v>16</v>
      </c>
    </row>
    <row r="175" s="2" customFormat="1" ht="30" customHeight="1" spans="1:9">
      <c r="A175" s="19" t="str">
        <f t="shared" si="1"/>
        <v>338</v>
      </c>
      <c r="B175" s="26" t="s">
        <v>337</v>
      </c>
      <c r="C175" s="21" t="s">
        <v>301</v>
      </c>
      <c r="D175" s="22" t="str">
        <f>"李小龙"</f>
        <v>李小龙</v>
      </c>
      <c r="E175" s="19" t="str">
        <f>"24338020823"</f>
        <v>24338020823</v>
      </c>
      <c r="F175" s="19">
        <v>64</v>
      </c>
      <c r="G175" s="19"/>
      <c r="H175" s="19">
        <v>80.18</v>
      </c>
      <c r="I175" s="31" t="s">
        <v>16</v>
      </c>
    </row>
    <row r="176" s="2" customFormat="1" ht="30" customHeight="1" spans="1:9">
      <c r="A176" s="19" t="str">
        <f t="shared" si="1"/>
        <v>338</v>
      </c>
      <c r="B176" s="26" t="s">
        <v>337</v>
      </c>
      <c r="C176" s="21" t="s">
        <v>301</v>
      </c>
      <c r="D176" s="22" t="str">
        <f>"杨月容"</f>
        <v>杨月容</v>
      </c>
      <c r="E176" s="19" t="str">
        <f>"24338020814"</f>
        <v>24338020814</v>
      </c>
      <c r="F176" s="19">
        <v>36</v>
      </c>
      <c r="G176" s="19"/>
      <c r="H176" s="23">
        <v>79.84</v>
      </c>
      <c r="I176" s="31" t="s">
        <v>16</v>
      </c>
    </row>
    <row r="177" s="2" customFormat="1" ht="30" customHeight="1" spans="1:9">
      <c r="A177" s="19" t="str">
        <f t="shared" si="1"/>
        <v>338</v>
      </c>
      <c r="B177" s="26" t="s">
        <v>337</v>
      </c>
      <c r="C177" s="21" t="s">
        <v>301</v>
      </c>
      <c r="D177" s="22" t="str">
        <f>"杨超"</f>
        <v>杨超</v>
      </c>
      <c r="E177" s="19" t="str">
        <f>"24338020719"</f>
        <v>24338020719</v>
      </c>
      <c r="F177" s="19">
        <v>33</v>
      </c>
      <c r="G177" s="19"/>
      <c r="H177" s="23">
        <v>79.2</v>
      </c>
      <c r="I177" s="31" t="s">
        <v>16</v>
      </c>
    </row>
    <row r="178" s="2" customFormat="1" ht="30" customHeight="1" spans="1:9">
      <c r="A178" s="19" t="str">
        <f t="shared" si="1"/>
        <v>338</v>
      </c>
      <c r="B178" s="26" t="s">
        <v>337</v>
      </c>
      <c r="C178" s="21" t="s">
        <v>301</v>
      </c>
      <c r="D178" s="22" t="str">
        <f>"刘春乐"</f>
        <v>刘春乐</v>
      </c>
      <c r="E178" s="19" t="str">
        <f>"24338020726"</f>
        <v>24338020726</v>
      </c>
      <c r="F178" s="19">
        <v>5</v>
      </c>
      <c r="G178" s="19"/>
      <c r="H178" s="19">
        <v>78.56</v>
      </c>
      <c r="I178" s="31" t="s">
        <v>16</v>
      </c>
    </row>
    <row r="179" s="2" customFormat="1" ht="30" customHeight="1" spans="1:9">
      <c r="A179" s="19" t="str">
        <f t="shared" si="1"/>
        <v>338</v>
      </c>
      <c r="B179" s="26" t="s">
        <v>337</v>
      </c>
      <c r="C179" s="21" t="s">
        <v>301</v>
      </c>
      <c r="D179" s="22" t="str">
        <f>"杜江峰"</f>
        <v>杜江峰</v>
      </c>
      <c r="E179" s="19" t="str">
        <f>"24338020822"</f>
        <v>24338020822</v>
      </c>
      <c r="F179" s="19">
        <v>3</v>
      </c>
      <c r="G179" s="19"/>
      <c r="H179" s="19">
        <v>78.48</v>
      </c>
      <c r="I179" s="31" t="s">
        <v>16</v>
      </c>
    </row>
    <row r="180" s="2" customFormat="1" ht="30" customHeight="1" spans="1:9">
      <c r="A180" s="19" t="str">
        <f t="shared" si="1"/>
        <v>338</v>
      </c>
      <c r="B180" s="26" t="s">
        <v>337</v>
      </c>
      <c r="C180" s="21" t="s">
        <v>301</v>
      </c>
      <c r="D180" s="22" t="str">
        <f>"白晨霞"</f>
        <v>白晨霞</v>
      </c>
      <c r="E180" s="19" t="str">
        <f>"24338020805"</f>
        <v>24338020805</v>
      </c>
      <c r="F180" s="19">
        <v>29</v>
      </c>
      <c r="G180" s="19"/>
      <c r="H180" s="23">
        <v>78.18</v>
      </c>
      <c r="I180" s="31" t="s">
        <v>16</v>
      </c>
    </row>
    <row r="181" s="2" customFormat="1" ht="30" customHeight="1" spans="1:9">
      <c r="A181" s="19" t="str">
        <f t="shared" si="1"/>
        <v>338</v>
      </c>
      <c r="B181" s="26" t="s">
        <v>337</v>
      </c>
      <c r="C181" s="21" t="s">
        <v>301</v>
      </c>
      <c r="D181" s="22" t="str">
        <f>"贾勇林"</f>
        <v>贾勇林</v>
      </c>
      <c r="E181" s="19" t="str">
        <f>"24338020820"</f>
        <v>24338020820</v>
      </c>
      <c r="F181" s="19">
        <v>31</v>
      </c>
      <c r="G181" s="19"/>
      <c r="H181" s="23">
        <v>78.02</v>
      </c>
      <c r="I181" s="31" t="s">
        <v>16</v>
      </c>
    </row>
    <row r="182" s="2" customFormat="1" ht="30" customHeight="1" spans="1:9">
      <c r="A182" s="19" t="str">
        <f t="shared" si="1"/>
        <v>338</v>
      </c>
      <c r="B182" s="26" t="s">
        <v>337</v>
      </c>
      <c r="C182" s="21" t="s">
        <v>301</v>
      </c>
      <c r="D182" s="22" t="str">
        <f>"郝金鹏"</f>
        <v>郝金鹏</v>
      </c>
      <c r="E182" s="19" t="str">
        <f>"24338020715"</f>
        <v>24338020715</v>
      </c>
      <c r="F182" s="19">
        <v>18</v>
      </c>
      <c r="G182" s="19"/>
      <c r="H182" s="23">
        <v>77.54</v>
      </c>
      <c r="I182" s="31" t="s">
        <v>16</v>
      </c>
    </row>
    <row r="183" s="2" customFormat="1" ht="30" customHeight="1" spans="1:9">
      <c r="A183" s="19" t="str">
        <f t="shared" si="1"/>
        <v>338</v>
      </c>
      <c r="B183" s="26" t="s">
        <v>337</v>
      </c>
      <c r="C183" s="21" t="s">
        <v>301</v>
      </c>
      <c r="D183" s="24" t="str">
        <f>"温美芬"</f>
        <v>温美芬</v>
      </c>
      <c r="E183" s="19" t="str">
        <f>"24338020718"</f>
        <v>24338020718</v>
      </c>
      <c r="F183" s="19">
        <v>17</v>
      </c>
      <c r="G183" s="19"/>
      <c r="H183" s="23">
        <v>76.96</v>
      </c>
      <c r="I183" s="19" t="s">
        <v>33</v>
      </c>
    </row>
    <row r="184" s="2" customFormat="1" ht="30" customHeight="1" spans="1:9">
      <c r="A184" s="19" t="str">
        <f t="shared" si="1"/>
        <v>338</v>
      </c>
      <c r="B184" s="26" t="s">
        <v>337</v>
      </c>
      <c r="C184" s="21" t="s">
        <v>301</v>
      </c>
      <c r="D184" s="24" t="str">
        <f>"张涛"</f>
        <v>张涛</v>
      </c>
      <c r="E184" s="19" t="str">
        <f>"24338020714"</f>
        <v>24338020714</v>
      </c>
      <c r="F184" s="19">
        <v>7</v>
      </c>
      <c r="G184" s="19"/>
      <c r="H184" s="19">
        <v>76.64</v>
      </c>
      <c r="I184" s="19" t="s">
        <v>33</v>
      </c>
    </row>
    <row r="185" s="2" customFormat="1" ht="30" customHeight="1" spans="1:9">
      <c r="A185" s="19" t="str">
        <f t="shared" si="1"/>
        <v>338</v>
      </c>
      <c r="B185" s="26" t="s">
        <v>337</v>
      </c>
      <c r="C185" s="21" t="s">
        <v>301</v>
      </c>
      <c r="D185" s="24" t="str">
        <f>"闫建龙"</f>
        <v>闫建龙</v>
      </c>
      <c r="E185" s="19" t="str">
        <f>"24338020812"</f>
        <v>24338020812</v>
      </c>
      <c r="F185" s="19">
        <v>16</v>
      </c>
      <c r="G185" s="19"/>
      <c r="H185" s="23">
        <v>76.4</v>
      </c>
      <c r="I185" s="19" t="s">
        <v>33</v>
      </c>
    </row>
    <row r="186" s="2" customFormat="1" ht="30" customHeight="1" spans="1:9">
      <c r="A186" s="19" t="str">
        <f t="shared" si="1"/>
        <v>338</v>
      </c>
      <c r="B186" s="26" t="s">
        <v>337</v>
      </c>
      <c r="C186" s="21" t="s">
        <v>301</v>
      </c>
      <c r="D186" s="24" t="str">
        <f>"孙露霞"</f>
        <v>孙露霞</v>
      </c>
      <c r="E186" s="19" t="str">
        <f>"24338020815"</f>
        <v>24338020815</v>
      </c>
      <c r="F186" s="19">
        <v>28</v>
      </c>
      <c r="G186" s="19"/>
      <c r="H186" s="23">
        <v>76.24</v>
      </c>
      <c r="I186" s="19" t="s">
        <v>33</v>
      </c>
    </row>
    <row r="187" s="2" customFormat="1" ht="30" customHeight="1" spans="1:9">
      <c r="A187" s="19" t="str">
        <f t="shared" si="1"/>
        <v>338</v>
      </c>
      <c r="B187" s="26" t="s">
        <v>337</v>
      </c>
      <c r="C187" s="21" t="s">
        <v>301</v>
      </c>
      <c r="D187" s="24" t="str">
        <f>"张永钢"</f>
        <v>张永钢</v>
      </c>
      <c r="E187" s="19" t="str">
        <f>"24338020717"</f>
        <v>24338020717</v>
      </c>
      <c r="F187" s="19">
        <v>52</v>
      </c>
      <c r="G187" s="19"/>
      <c r="H187" s="23">
        <v>76.1</v>
      </c>
      <c r="I187" s="19" t="s">
        <v>33</v>
      </c>
    </row>
    <row r="188" s="2" customFormat="1" ht="30" customHeight="1" spans="1:9">
      <c r="A188" s="19" t="str">
        <f t="shared" si="1"/>
        <v>338</v>
      </c>
      <c r="B188" s="26" t="s">
        <v>337</v>
      </c>
      <c r="C188" s="21" t="s">
        <v>301</v>
      </c>
      <c r="D188" s="24" t="str">
        <f>"杨远山"</f>
        <v>杨远山</v>
      </c>
      <c r="E188" s="19" t="str">
        <f>"24338020802"</f>
        <v>24338020802</v>
      </c>
      <c r="F188" s="19">
        <v>26</v>
      </c>
      <c r="G188" s="19"/>
      <c r="H188" s="23">
        <v>76.08</v>
      </c>
      <c r="I188" s="19" t="s">
        <v>33</v>
      </c>
    </row>
    <row r="189" s="2" customFormat="1" ht="30" customHeight="1" spans="1:9">
      <c r="A189" s="19" t="str">
        <f t="shared" si="1"/>
        <v>338</v>
      </c>
      <c r="B189" s="26" t="s">
        <v>337</v>
      </c>
      <c r="C189" s="21" t="s">
        <v>301</v>
      </c>
      <c r="D189" s="24" t="str">
        <f>"白昊田"</f>
        <v>白昊田</v>
      </c>
      <c r="E189" s="19" t="str">
        <f>"24338020811"</f>
        <v>24338020811</v>
      </c>
      <c r="F189" s="19">
        <v>48</v>
      </c>
      <c r="G189" s="19"/>
      <c r="H189" s="23">
        <v>75.92</v>
      </c>
      <c r="I189" s="19" t="s">
        <v>33</v>
      </c>
    </row>
    <row r="190" s="2" customFormat="1" ht="30" customHeight="1" spans="1:9">
      <c r="A190" s="19" t="str">
        <f t="shared" si="1"/>
        <v>338</v>
      </c>
      <c r="B190" s="26" t="s">
        <v>337</v>
      </c>
      <c r="C190" s="21" t="s">
        <v>301</v>
      </c>
      <c r="D190" s="24" t="str">
        <f>"张芮"</f>
        <v>张芮</v>
      </c>
      <c r="E190" s="19" t="str">
        <f>"24338020724"</f>
        <v>24338020724</v>
      </c>
      <c r="F190" s="19">
        <v>20</v>
      </c>
      <c r="G190" s="19"/>
      <c r="H190" s="23">
        <v>75.54</v>
      </c>
      <c r="I190" s="19" t="s">
        <v>33</v>
      </c>
    </row>
    <row r="191" s="2" customFormat="1" ht="30" customHeight="1" spans="1:9">
      <c r="A191" s="19" t="str">
        <f t="shared" si="1"/>
        <v>338</v>
      </c>
      <c r="B191" s="26" t="s">
        <v>337</v>
      </c>
      <c r="C191" s="21" t="s">
        <v>301</v>
      </c>
      <c r="D191" s="24" t="str">
        <f>"刘泽男"</f>
        <v>刘泽男</v>
      </c>
      <c r="E191" s="19" t="str">
        <f>"24338020803"</f>
        <v>24338020803</v>
      </c>
      <c r="F191" s="19">
        <v>56</v>
      </c>
      <c r="G191" s="19"/>
      <c r="H191" s="23">
        <v>75.4</v>
      </c>
      <c r="I191" s="19" t="s">
        <v>33</v>
      </c>
    </row>
    <row r="192" s="2" customFormat="1" ht="30" customHeight="1" spans="1:9">
      <c r="A192" s="19" t="str">
        <f t="shared" si="1"/>
        <v>338</v>
      </c>
      <c r="B192" s="26" t="s">
        <v>337</v>
      </c>
      <c r="C192" s="21" t="s">
        <v>301</v>
      </c>
      <c r="D192" s="24" t="str">
        <f>"王瑞琦"</f>
        <v>王瑞琦</v>
      </c>
      <c r="E192" s="19" t="str">
        <f>"24338020807"</f>
        <v>24338020807</v>
      </c>
      <c r="F192" s="19">
        <v>62</v>
      </c>
      <c r="G192" s="19"/>
      <c r="H192" s="19">
        <v>75.24</v>
      </c>
      <c r="I192" s="19" t="s">
        <v>33</v>
      </c>
    </row>
    <row r="193" s="2" customFormat="1" ht="30" customHeight="1" spans="1:9">
      <c r="A193" s="19" t="str">
        <f t="shared" si="1"/>
        <v>338</v>
      </c>
      <c r="B193" s="26" t="s">
        <v>337</v>
      </c>
      <c r="C193" s="21" t="s">
        <v>301</v>
      </c>
      <c r="D193" s="24" t="str">
        <f>"闫向艳"</f>
        <v>闫向艳</v>
      </c>
      <c r="E193" s="19" t="str">
        <f>"24338020818"</f>
        <v>24338020818</v>
      </c>
      <c r="F193" s="19">
        <v>8</v>
      </c>
      <c r="G193" s="19"/>
      <c r="H193" s="19">
        <v>74.96</v>
      </c>
      <c r="I193" s="19" t="s">
        <v>33</v>
      </c>
    </row>
    <row r="194" s="2" customFormat="1" ht="30" customHeight="1" spans="1:9">
      <c r="A194" s="19" t="str">
        <f t="shared" si="1"/>
        <v>338</v>
      </c>
      <c r="B194" s="26" t="s">
        <v>337</v>
      </c>
      <c r="C194" s="21" t="s">
        <v>301</v>
      </c>
      <c r="D194" s="24" t="str">
        <f>"格更烛蜡"</f>
        <v>格更烛蜡</v>
      </c>
      <c r="E194" s="19" t="str">
        <f>"24338020801"</f>
        <v>24338020801</v>
      </c>
      <c r="F194" s="19">
        <v>19</v>
      </c>
      <c r="G194" s="19"/>
      <c r="H194" s="23">
        <v>74.4</v>
      </c>
      <c r="I194" s="19" t="s">
        <v>33</v>
      </c>
    </row>
    <row r="195" s="2" customFormat="1" ht="30" customHeight="1" spans="1:9">
      <c r="A195" s="19" t="str">
        <f t="shared" si="1"/>
        <v>338</v>
      </c>
      <c r="B195" s="26" t="s">
        <v>337</v>
      </c>
      <c r="C195" s="21" t="s">
        <v>301</v>
      </c>
      <c r="D195" s="24" t="str">
        <f>"曹英"</f>
        <v>曹英</v>
      </c>
      <c r="E195" s="19" t="str">
        <f>"24338020721"</f>
        <v>24338020721</v>
      </c>
      <c r="F195" s="19">
        <v>50</v>
      </c>
      <c r="G195" s="19"/>
      <c r="H195" s="23">
        <v>73.94</v>
      </c>
      <c r="I195" s="19" t="s">
        <v>33</v>
      </c>
    </row>
    <row r="196" s="2" customFormat="1" ht="30" customHeight="1" spans="1:9">
      <c r="A196" s="19" t="str">
        <f t="shared" si="1"/>
        <v>338</v>
      </c>
      <c r="B196" s="26" t="s">
        <v>337</v>
      </c>
      <c r="C196" s="21" t="s">
        <v>301</v>
      </c>
      <c r="D196" s="24" t="str">
        <f>"霍烨锋"</f>
        <v>霍烨锋</v>
      </c>
      <c r="E196" s="19" t="str">
        <f>"24338020824"</f>
        <v>24338020824</v>
      </c>
      <c r="F196" s="19">
        <v>61</v>
      </c>
      <c r="G196" s="19"/>
      <c r="H196" s="19">
        <v>73.22</v>
      </c>
      <c r="I196" s="19" t="s">
        <v>33</v>
      </c>
    </row>
    <row r="197" s="2" customFormat="1" ht="30" customHeight="1" spans="1:9">
      <c r="A197" s="19" t="str">
        <f t="shared" si="1"/>
        <v>338</v>
      </c>
      <c r="B197" s="26" t="s">
        <v>337</v>
      </c>
      <c r="C197" s="21" t="s">
        <v>301</v>
      </c>
      <c r="D197" s="24" t="str">
        <f>"张皓楠"</f>
        <v>张皓楠</v>
      </c>
      <c r="E197" s="19" t="str">
        <f>"24338020806"</f>
        <v>24338020806</v>
      </c>
      <c r="F197" s="19">
        <v>32</v>
      </c>
      <c r="G197" s="19"/>
      <c r="H197" s="23">
        <v>73.14</v>
      </c>
      <c r="I197" s="19" t="s">
        <v>33</v>
      </c>
    </row>
    <row r="198" s="2" customFormat="1" ht="30" customHeight="1" spans="1:9">
      <c r="A198" s="19" t="str">
        <f t="shared" si="1"/>
        <v>338</v>
      </c>
      <c r="B198" s="26" t="s">
        <v>337</v>
      </c>
      <c r="C198" s="21" t="s">
        <v>301</v>
      </c>
      <c r="D198" s="24" t="str">
        <f>"白宇琛"</f>
        <v>白宇琛</v>
      </c>
      <c r="E198" s="19" t="str">
        <f>"24338020825"</f>
        <v>24338020825</v>
      </c>
      <c r="F198" s="19">
        <v>21</v>
      </c>
      <c r="G198" s="19"/>
      <c r="H198" s="23">
        <v>73</v>
      </c>
      <c r="I198" s="19" t="s">
        <v>33</v>
      </c>
    </row>
    <row r="199" s="2" customFormat="1" ht="30" customHeight="1" spans="1:9">
      <c r="A199" s="19" t="str">
        <f t="shared" si="1"/>
        <v>338</v>
      </c>
      <c r="B199" s="26" t="s">
        <v>337</v>
      </c>
      <c r="C199" s="21" t="s">
        <v>301</v>
      </c>
      <c r="D199" s="24" t="str">
        <f>"武艳"</f>
        <v>武艳</v>
      </c>
      <c r="E199" s="19" t="str">
        <f>"24338020729"</f>
        <v>24338020729</v>
      </c>
      <c r="F199" s="19">
        <v>49</v>
      </c>
      <c r="G199" s="19"/>
      <c r="H199" s="23">
        <v>72.44</v>
      </c>
      <c r="I199" s="19" t="s">
        <v>33</v>
      </c>
    </row>
    <row r="200" s="2" customFormat="1" ht="30" customHeight="1" spans="1:9">
      <c r="A200" s="19" t="str">
        <f t="shared" si="1"/>
        <v>338</v>
      </c>
      <c r="B200" s="26" t="s">
        <v>337</v>
      </c>
      <c r="C200" s="21" t="s">
        <v>301</v>
      </c>
      <c r="D200" s="24" t="str">
        <f>"高浩然"</f>
        <v>高浩然</v>
      </c>
      <c r="E200" s="19" t="str">
        <f>"24338020828"</f>
        <v>24338020828</v>
      </c>
      <c r="F200" s="19">
        <v>25</v>
      </c>
      <c r="G200" s="19"/>
      <c r="H200" s="23">
        <v>72.32</v>
      </c>
      <c r="I200" s="19" t="s">
        <v>33</v>
      </c>
    </row>
    <row r="201" s="2" customFormat="1" ht="30" customHeight="1" spans="1:9">
      <c r="A201" s="19" t="str">
        <f t="shared" si="1"/>
        <v>338</v>
      </c>
      <c r="B201" s="26" t="s">
        <v>337</v>
      </c>
      <c r="C201" s="21" t="s">
        <v>301</v>
      </c>
      <c r="D201" s="24" t="str">
        <f>"任静"</f>
        <v>任静</v>
      </c>
      <c r="E201" s="19" t="str">
        <f>"24338020727"</f>
        <v>24338020727</v>
      </c>
      <c r="F201" s="19">
        <v>30</v>
      </c>
      <c r="G201" s="19"/>
      <c r="H201" s="23">
        <v>71.9</v>
      </c>
      <c r="I201" s="19" t="s">
        <v>33</v>
      </c>
    </row>
    <row r="202" s="2" customFormat="1" ht="30" customHeight="1" spans="1:9">
      <c r="A202" s="19" t="str">
        <f t="shared" si="1"/>
        <v>338</v>
      </c>
      <c r="B202" s="26" t="s">
        <v>337</v>
      </c>
      <c r="C202" s="21" t="s">
        <v>301</v>
      </c>
      <c r="D202" s="24" t="str">
        <f>"安博"</f>
        <v>安博</v>
      </c>
      <c r="E202" s="19" t="str">
        <f>"24338020716"</f>
        <v>24338020716</v>
      </c>
      <c r="F202" s="19">
        <v>13</v>
      </c>
      <c r="G202" s="19"/>
      <c r="H202" s="25">
        <v>-1</v>
      </c>
      <c r="I202" s="19" t="s">
        <v>33</v>
      </c>
    </row>
    <row r="203" s="2" customFormat="1" ht="30" customHeight="1" spans="1:9">
      <c r="A203" s="19" t="str">
        <f t="shared" si="1"/>
        <v>338</v>
      </c>
      <c r="B203" s="26" t="s">
        <v>337</v>
      </c>
      <c r="C203" s="21" t="s">
        <v>301</v>
      </c>
      <c r="D203" s="24" t="str">
        <f>"边盛安"</f>
        <v>边盛安</v>
      </c>
      <c r="E203" s="19" t="str">
        <f>"24338020722"</f>
        <v>24338020722</v>
      </c>
      <c r="F203" s="19">
        <v>22</v>
      </c>
      <c r="G203" s="19"/>
      <c r="H203" s="25">
        <v>-1</v>
      </c>
      <c r="I203" s="19" t="s">
        <v>33</v>
      </c>
    </row>
    <row r="204" s="3" customFormat="1" ht="30" customHeight="1" spans="1:9">
      <c r="A204" s="19" t="str">
        <f t="shared" si="1"/>
        <v>338</v>
      </c>
      <c r="B204" s="26" t="s">
        <v>337</v>
      </c>
      <c r="C204" s="21" t="s">
        <v>301</v>
      </c>
      <c r="D204" s="24" t="str">
        <f>"高业博"</f>
        <v>高业博</v>
      </c>
      <c r="E204" s="19" t="str">
        <f>"24338020723"</f>
        <v>24338020723</v>
      </c>
      <c r="F204" s="19">
        <v>23</v>
      </c>
      <c r="G204" s="19"/>
      <c r="H204" s="25">
        <v>-1</v>
      </c>
      <c r="I204" s="19" t="s">
        <v>33</v>
      </c>
    </row>
    <row r="205" s="3" customFormat="1" ht="30" customHeight="1" spans="1:9">
      <c r="A205" s="19" t="str">
        <f t="shared" si="1"/>
        <v>338</v>
      </c>
      <c r="B205" s="26" t="s">
        <v>337</v>
      </c>
      <c r="C205" s="21" t="s">
        <v>301</v>
      </c>
      <c r="D205" s="24" t="str">
        <f>"尚承业"</f>
        <v>尚承业</v>
      </c>
      <c r="E205" s="19" t="str">
        <f>"24338020728"</f>
        <v>24338020728</v>
      </c>
      <c r="F205" s="19">
        <v>35</v>
      </c>
      <c r="G205" s="19"/>
      <c r="H205" s="25">
        <v>-1</v>
      </c>
      <c r="I205" s="19" t="s">
        <v>33</v>
      </c>
    </row>
    <row r="206" s="3" customFormat="1" ht="30" customHeight="1" spans="1:9">
      <c r="A206" s="19" t="str">
        <f t="shared" si="1"/>
        <v>338</v>
      </c>
      <c r="B206" s="26" t="s">
        <v>337</v>
      </c>
      <c r="C206" s="21" t="s">
        <v>301</v>
      </c>
      <c r="D206" s="24" t="str">
        <f>"杨小娇"</f>
        <v>杨小娇</v>
      </c>
      <c r="E206" s="19" t="str">
        <f>"24338020730"</f>
        <v>24338020730</v>
      </c>
      <c r="F206" s="19">
        <v>37</v>
      </c>
      <c r="G206" s="19"/>
      <c r="H206" s="25">
        <v>-1</v>
      </c>
      <c r="I206" s="19" t="s">
        <v>33</v>
      </c>
    </row>
    <row r="207" s="3" customFormat="1" ht="30" customHeight="1" spans="1:9">
      <c r="A207" s="19" t="str">
        <f t="shared" si="1"/>
        <v>338</v>
      </c>
      <c r="B207" s="26" t="s">
        <v>337</v>
      </c>
      <c r="C207" s="21" t="s">
        <v>301</v>
      </c>
      <c r="D207" s="24" t="str">
        <f>"鲁程熙"</f>
        <v>鲁程熙</v>
      </c>
      <c r="E207" s="19" t="str">
        <f>"24338020809"</f>
        <v>24338020809</v>
      </c>
      <c r="F207" s="19">
        <v>45</v>
      </c>
      <c r="G207" s="19"/>
      <c r="H207" s="25">
        <v>-1</v>
      </c>
      <c r="I207" s="19" t="s">
        <v>33</v>
      </c>
    </row>
    <row r="208" s="3" customFormat="1" ht="30" customHeight="1" spans="1:9">
      <c r="A208" s="19" t="str">
        <f t="shared" si="1"/>
        <v>338</v>
      </c>
      <c r="B208" s="26" t="s">
        <v>337</v>
      </c>
      <c r="C208" s="21" t="s">
        <v>301</v>
      </c>
      <c r="D208" s="24" t="str">
        <f>"道力格雅"</f>
        <v>道力格雅</v>
      </c>
      <c r="E208" s="19" t="str">
        <f>"24338020810"</f>
        <v>24338020810</v>
      </c>
      <c r="F208" s="19">
        <v>46</v>
      </c>
      <c r="G208" s="19"/>
      <c r="H208" s="25">
        <v>-1</v>
      </c>
      <c r="I208" s="19" t="s">
        <v>33</v>
      </c>
    </row>
    <row r="209" s="3" customFormat="1" ht="30" customHeight="1" spans="1:9">
      <c r="A209" s="19" t="str">
        <f t="shared" si="1"/>
        <v>338</v>
      </c>
      <c r="B209" s="26" t="s">
        <v>337</v>
      </c>
      <c r="C209" s="21" t="s">
        <v>301</v>
      </c>
      <c r="D209" s="24" t="str">
        <f>"王改转"</f>
        <v>王改转</v>
      </c>
      <c r="E209" s="19" t="str">
        <f>"24338020816"</f>
        <v>24338020816</v>
      </c>
      <c r="F209" s="19">
        <v>47</v>
      </c>
      <c r="G209" s="19"/>
      <c r="H209" s="25">
        <v>-1</v>
      </c>
      <c r="I209" s="19" t="s">
        <v>33</v>
      </c>
    </row>
    <row r="210" s="3" customFormat="1" ht="30" customHeight="1" spans="1:9">
      <c r="A210" s="19" t="str">
        <f t="shared" si="1"/>
        <v>338</v>
      </c>
      <c r="B210" s="26" t="s">
        <v>337</v>
      </c>
      <c r="C210" s="21" t="s">
        <v>301</v>
      </c>
      <c r="D210" s="24" t="str">
        <f>"张亚丽"</f>
        <v>张亚丽</v>
      </c>
      <c r="E210" s="19" t="str">
        <f>"24338020826"</f>
        <v>24338020826</v>
      </c>
      <c r="F210" s="19">
        <v>51</v>
      </c>
      <c r="G210" s="19"/>
      <c r="H210" s="25">
        <v>-1</v>
      </c>
      <c r="I210" s="19" t="s">
        <v>33</v>
      </c>
    </row>
    <row r="211" s="3" customFormat="1" ht="30" customHeight="1" spans="1:9">
      <c r="A211" s="19" t="str">
        <f>"339"</f>
        <v>339</v>
      </c>
      <c r="B211" s="26" t="s">
        <v>338</v>
      </c>
      <c r="C211" s="21" t="s">
        <v>301</v>
      </c>
      <c r="D211" s="24" t="str">
        <f>"杨雅鑫"</f>
        <v>杨雅鑫</v>
      </c>
      <c r="E211" s="19" t="str">
        <f>"24339020830"</f>
        <v>24339020830</v>
      </c>
      <c r="F211" s="19">
        <v>54</v>
      </c>
      <c r="G211" s="19"/>
      <c r="H211" s="25">
        <v>-1</v>
      </c>
      <c r="I211" s="19" t="s">
        <v>33</v>
      </c>
    </row>
    <row r="212" s="3" customFormat="1" ht="30" customHeight="1" spans="1:9">
      <c r="A212" s="19" t="str">
        <f t="shared" ref="A212:A245" si="2">"340"</f>
        <v>340</v>
      </c>
      <c r="B212" s="20" t="s">
        <v>339</v>
      </c>
      <c r="C212" s="21" t="s">
        <v>301</v>
      </c>
      <c r="D212" s="22" t="str">
        <f>"王星宇"</f>
        <v>王星宇</v>
      </c>
      <c r="E212" s="19" t="str">
        <f>"24340020915"</f>
        <v>24340020915</v>
      </c>
      <c r="F212" s="19">
        <v>28</v>
      </c>
      <c r="G212" s="19"/>
      <c r="H212" s="23">
        <v>80.38</v>
      </c>
      <c r="I212" s="31" t="s">
        <v>16</v>
      </c>
    </row>
    <row r="213" s="3" customFormat="1" ht="30" customHeight="1" spans="1:9">
      <c r="A213" s="19" t="str">
        <f t="shared" si="2"/>
        <v>340</v>
      </c>
      <c r="B213" s="20" t="s">
        <v>339</v>
      </c>
      <c r="C213" s="21" t="s">
        <v>301</v>
      </c>
      <c r="D213" s="22" t="str">
        <f>"邵世凤"</f>
        <v>邵世凤</v>
      </c>
      <c r="E213" s="19" t="str">
        <f>"24340020903"</f>
        <v>24340020903</v>
      </c>
      <c r="F213" s="19">
        <v>30</v>
      </c>
      <c r="G213" s="19"/>
      <c r="H213" s="23">
        <v>80.26</v>
      </c>
      <c r="I213" s="31" t="s">
        <v>16</v>
      </c>
    </row>
    <row r="214" s="3" customFormat="1" ht="30" customHeight="1" spans="1:9">
      <c r="A214" s="19" t="str">
        <f t="shared" si="2"/>
        <v>340</v>
      </c>
      <c r="B214" s="20" t="s">
        <v>339</v>
      </c>
      <c r="C214" s="21" t="s">
        <v>301</v>
      </c>
      <c r="D214" s="22" t="str">
        <f>"赵婷"</f>
        <v>赵婷</v>
      </c>
      <c r="E214" s="19" t="str">
        <f>"24340020923"</f>
        <v>24340020923</v>
      </c>
      <c r="F214" s="19">
        <v>20</v>
      </c>
      <c r="G214" s="19"/>
      <c r="H214" s="19">
        <v>80.16</v>
      </c>
      <c r="I214" s="31" t="s">
        <v>16</v>
      </c>
    </row>
    <row r="215" s="3" customFormat="1" ht="30" customHeight="1" spans="1:9">
      <c r="A215" s="19" t="str">
        <f t="shared" si="2"/>
        <v>340</v>
      </c>
      <c r="B215" s="20" t="s">
        <v>339</v>
      </c>
      <c r="C215" s="21" t="s">
        <v>301</v>
      </c>
      <c r="D215" s="22" t="str">
        <f>"牛嘉敏"</f>
        <v>牛嘉敏</v>
      </c>
      <c r="E215" s="19" t="str">
        <f>"24340020908"</f>
        <v>24340020908</v>
      </c>
      <c r="F215" s="19">
        <v>34</v>
      </c>
      <c r="G215" s="19"/>
      <c r="H215" s="23">
        <v>80.02</v>
      </c>
      <c r="I215" s="31" t="s">
        <v>16</v>
      </c>
    </row>
    <row r="216" s="3" customFormat="1" ht="30" customHeight="1" spans="1:9">
      <c r="A216" s="19" t="str">
        <f t="shared" si="2"/>
        <v>340</v>
      </c>
      <c r="B216" s="20" t="s">
        <v>339</v>
      </c>
      <c r="C216" s="21" t="s">
        <v>301</v>
      </c>
      <c r="D216" s="22" t="str">
        <f>"邬晓霞"</f>
        <v>邬晓霞</v>
      </c>
      <c r="E216" s="19" t="str">
        <f>"24340020927"</f>
        <v>24340020927</v>
      </c>
      <c r="F216" s="19">
        <v>36</v>
      </c>
      <c r="G216" s="19"/>
      <c r="H216" s="23">
        <v>79.02</v>
      </c>
      <c r="I216" s="31" t="s">
        <v>16</v>
      </c>
    </row>
    <row r="217" s="3" customFormat="1" ht="30" customHeight="1" spans="1:9">
      <c r="A217" s="19" t="str">
        <f t="shared" si="2"/>
        <v>340</v>
      </c>
      <c r="B217" s="20" t="s">
        <v>339</v>
      </c>
      <c r="C217" s="21" t="s">
        <v>301</v>
      </c>
      <c r="D217" s="22" t="str">
        <f>"王强"</f>
        <v>王强</v>
      </c>
      <c r="E217" s="19" t="str">
        <f>"24340021008"</f>
        <v>24340021008</v>
      </c>
      <c r="F217" s="19">
        <v>23</v>
      </c>
      <c r="G217" s="19"/>
      <c r="H217" s="19">
        <v>78.66</v>
      </c>
      <c r="I217" s="31" t="s">
        <v>16</v>
      </c>
    </row>
    <row r="218" s="3" customFormat="1" ht="30" customHeight="1" spans="1:9">
      <c r="A218" s="19" t="str">
        <f t="shared" si="2"/>
        <v>340</v>
      </c>
      <c r="B218" s="20" t="s">
        <v>339</v>
      </c>
      <c r="C218" s="21" t="s">
        <v>301</v>
      </c>
      <c r="D218" s="22" t="str">
        <f>"杨彩霞"</f>
        <v>杨彩霞</v>
      </c>
      <c r="E218" s="19" t="str">
        <f>"24340020917"</f>
        <v>24340020917</v>
      </c>
      <c r="F218" s="19">
        <v>29</v>
      </c>
      <c r="G218" s="19"/>
      <c r="H218" s="23">
        <v>78.42</v>
      </c>
      <c r="I218" s="31" t="s">
        <v>16</v>
      </c>
    </row>
    <row r="219" s="3" customFormat="1" ht="30" customHeight="1" spans="1:9">
      <c r="A219" s="19" t="str">
        <f t="shared" si="2"/>
        <v>340</v>
      </c>
      <c r="B219" s="20" t="s">
        <v>339</v>
      </c>
      <c r="C219" s="21" t="s">
        <v>301</v>
      </c>
      <c r="D219" s="22" t="str">
        <f>"王鹤琦"</f>
        <v>王鹤琦</v>
      </c>
      <c r="E219" s="19" t="str">
        <f>"24340020901"</f>
        <v>24340020901</v>
      </c>
      <c r="F219" s="19">
        <v>47</v>
      </c>
      <c r="G219" s="19"/>
      <c r="H219" s="23">
        <v>78.4</v>
      </c>
      <c r="I219" s="31" t="s">
        <v>16</v>
      </c>
    </row>
    <row r="220" s="3" customFormat="1" ht="30" customHeight="1" spans="1:9">
      <c r="A220" s="19" t="str">
        <f t="shared" si="2"/>
        <v>340</v>
      </c>
      <c r="B220" s="20" t="s">
        <v>339</v>
      </c>
      <c r="C220" s="21" t="s">
        <v>301</v>
      </c>
      <c r="D220" s="22" t="str">
        <f>"莫德勒格"</f>
        <v>莫德勒格</v>
      </c>
      <c r="E220" s="19" t="str">
        <f>"24340021010"</f>
        <v>24340021010</v>
      </c>
      <c r="F220" s="19">
        <v>52</v>
      </c>
      <c r="G220" s="19"/>
      <c r="H220" s="19">
        <v>78.14</v>
      </c>
      <c r="I220" s="31" t="s">
        <v>16</v>
      </c>
    </row>
    <row r="221" s="3" customFormat="1" ht="30" customHeight="1" spans="1:9">
      <c r="A221" s="19" t="str">
        <f t="shared" si="2"/>
        <v>340</v>
      </c>
      <c r="B221" s="20" t="s">
        <v>339</v>
      </c>
      <c r="C221" s="21" t="s">
        <v>301</v>
      </c>
      <c r="D221" s="24" t="str">
        <f>"董如煜"</f>
        <v>董如煜</v>
      </c>
      <c r="E221" s="19" t="str">
        <f>"24340020911"</f>
        <v>24340020911</v>
      </c>
      <c r="F221" s="19">
        <v>42</v>
      </c>
      <c r="G221" s="19"/>
      <c r="H221" s="23">
        <v>77.72</v>
      </c>
      <c r="I221" s="19" t="s">
        <v>33</v>
      </c>
    </row>
    <row r="222" s="3" customFormat="1" ht="30" customHeight="1" spans="1:9">
      <c r="A222" s="19" t="str">
        <f t="shared" si="2"/>
        <v>340</v>
      </c>
      <c r="B222" s="20" t="s">
        <v>339</v>
      </c>
      <c r="C222" s="21" t="s">
        <v>301</v>
      </c>
      <c r="D222" s="24" t="str">
        <f>"郝禹捷"</f>
        <v>郝禹捷</v>
      </c>
      <c r="E222" s="19" t="str">
        <f>"24340021003"</f>
        <v>24340021003</v>
      </c>
      <c r="F222" s="19">
        <v>38</v>
      </c>
      <c r="G222" s="19"/>
      <c r="H222" s="23">
        <v>77.2</v>
      </c>
      <c r="I222" s="19" t="s">
        <v>33</v>
      </c>
    </row>
    <row r="223" s="3" customFormat="1" ht="30" customHeight="1" spans="1:9">
      <c r="A223" s="19" t="str">
        <f t="shared" si="2"/>
        <v>340</v>
      </c>
      <c r="B223" s="20" t="s">
        <v>339</v>
      </c>
      <c r="C223" s="21" t="s">
        <v>301</v>
      </c>
      <c r="D223" s="24" t="str">
        <f>"闫瑞洁"</f>
        <v>闫瑞洁</v>
      </c>
      <c r="E223" s="19" t="str">
        <f>"24340021007"</f>
        <v>24340021007</v>
      </c>
      <c r="F223" s="19">
        <v>45</v>
      </c>
      <c r="G223" s="19"/>
      <c r="H223" s="23">
        <v>76.68</v>
      </c>
      <c r="I223" s="19" t="s">
        <v>33</v>
      </c>
    </row>
    <row r="224" s="3" customFormat="1" ht="30" customHeight="1" spans="1:9">
      <c r="A224" s="19" t="str">
        <f t="shared" si="2"/>
        <v>340</v>
      </c>
      <c r="B224" s="20" t="s">
        <v>339</v>
      </c>
      <c r="C224" s="21" t="s">
        <v>301</v>
      </c>
      <c r="D224" s="24" t="str">
        <f>"刘丹"</f>
        <v>刘丹</v>
      </c>
      <c r="E224" s="19" t="str">
        <f>"24340020919"</f>
        <v>24340020919</v>
      </c>
      <c r="F224" s="19">
        <v>39</v>
      </c>
      <c r="G224" s="19"/>
      <c r="H224" s="23">
        <v>76.64</v>
      </c>
      <c r="I224" s="19" t="s">
        <v>33</v>
      </c>
    </row>
    <row r="225" s="3" customFormat="1" ht="30" customHeight="1" spans="1:9">
      <c r="A225" s="19" t="str">
        <f t="shared" si="2"/>
        <v>340</v>
      </c>
      <c r="B225" s="20" t="s">
        <v>339</v>
      </c>
      <c r="C225" s="21" t="s">
        <v>301</v>
      </c>
      <c r="D225" s="24" t="str">
        <f>"王耀东"</f>
        <v>王耀东</v>
      </c>
      <c r="E225" s="19" t="str">
        <f>"24340020922"</f>
        <v>24340020922</v>
      </c>
      <c r="F225" s="19">
        <v>51</v>
      </c>
      <c r="G225" s="19"/>
      <c r="H225" s="19">
        <v>76.62</v>
      </c>
      <c r="I225" s="19" t="s">
        <v>33</v>
      </c>
    </row>
    <row r="226" s="3" customFormat="1" ht="30" customHeight="1" spans="1:9">
      <c r="A226" s="19" t="str">
        <f t="shared" si="2"/>
        <v>340</v>
      </c>
      <c r="B226" s="20" t="s">
        <v>339</v>
      </c>
      <c r="C226" s="21" t="s">
        <v>301</v>
      </c>
      <c r="D226" s="24" t="str">
        <f>"邬志乐"</f>
        <v>邬志乐</v>
      </c>
      <c r="E226" s="19" t="str">
        <f>"24340020910"</f>
        <v>24340020910</v>
      </c>
      <c r="F226" s="19">
        <v>32</v>
      </c>
      <c r="G226" s="19"/>
      <c r="H226" s="23">
        <v>76.58</v>
      </c>
      <c r="I226" s="19" t="s">
        <v>33</v>
      </c>
    </row>
    <row r="227" s="3" customFormat="1" ht="30" customHeight="1" spans="1:9">
      <c r="A227" s="19" t="str">
        <f t="shared" si="2"/>
        <v>340</v>
      </c>
      <c r="B227" s="20" t="s">
        <v>339</v>
      </c>
      <c r="C227" s="21" t="s">
        <v>301</v>
      </c>
      <c r="D227" s="24" t="str">
        <f>"袁硕锴"</f>
        <v>袁硕锴</v>
      </c>
      <c r="E227" s="19" t="str">
        <f>"24340020913"</f>
        <v>24340020913</v>
      </c>
      <c r="F227" s="19">
        <v>24</v>
      </c>
      <c r="G227" s="19"/>
      <c r="H227" s="23">
        <v>76.44</v>
      </c>
      <c r="I227" s="19" t="s">
        <v>33</v>
      </c>
    </row>
    <row r="228" s="3" customFormat="1" ht="30" customHeight="1" spans="1:9">
      <c r="A228" s="19" t="str">
        <f t="shared" si="2"/>
        <v>340</v>
      </c>
      <c r="B228" s="20" t="s">
        <v>339</v>
      </c>
      <c r="C228" s="21" t="s">
        <v>301</v>
      </c>
      <c r="D228" s="24" t="str">
        <f>"闫星明"</f>
        <v>闫星明</v>
      </c>
      <c r="E228" s="19" t="str">
        <f>"24340020902"</f>
        <v>24340020902</v>
      </c>
      <c r="F228" s="19">
        <v>49</v>
      </c>
      <c r="G228" s="19"/>
      <c r="H228" s="19">
        <v>76.24</v>
      </c>
      <c r="I228" s="19" t="s">
        <v>33</v>
      </c>
    </row>
    <row r="229" s="3" customFormat="1" ht="30" customHeight="1" spans="1:9">
      <c r="A229" s="19" t="str">
        <f t="shared" si="2"/>
        <v>340</v>
      </c>
      <c r="B229" s="20" t="s">
        <v>339</v>
      </c>
      <c r="C229" s="21" t="s">
        <v>301</v>
      </c>
      <c r="D229" s="24" t="str">
        <f>"贾方婕"</f>
        <v>贾方婕</v>
      </c>
      <c r="E229" s="19" t="str">
        <f>"24340020926"</f>
        <v>24340020926</v>
      </c>
      <c r="F229" s="19">
        <v>22</v>
      </c>
      <c r="G229" s="19"/>
      <c r="H229" s="19">
        <v>76.14</v>
      </c>
      <c r="I229" s="19" t="s">
        <v>33</v>
      </c>
    </row>
    <row r="230" s="3" customFormat="1" ht="30" customHeight="1" spans="1:9">
      <c r="A230" s="19" t="str">
        <f t="shared" si="2"/>
        <v>340</v>
      </c>
      <c r="B230" s="20" t="s">
        <v>339</v>
      </c>
      <c r="C230" s="21" t="s">
        <v>301</v>
      </c>
      <c r="D230" s="24" t="str">
        <f>"胡圆圆"</f>
        <v>胡圆圆</v>
      </c>
      <c r="E230" s="19" t="str">
        <f>"24340021001"</f>
        <v>24340021001</v>
      </c>
      <c r="F230" s="19">
        <v>46</v>
      </c>
      <c r="G230" s="19"/>
      <c r="H230" s="23">
        <v>76.1</v>
      </c>
      <c r="I230" s="19" t="s">
        <v>33</v>
      </c>
    </row>
    <row r="231" s="3" customFormat="1" ht="30" customHeight="1" spans="1:9">
      <c r="A231" s="19" t="str">
        <f t="shared" si="2"/>
        <v>340</v>
      </c>
      <c r="B231" s="20" t="s">
        <v>339</v>
      </c>
      <c r="C231" s="21" t="s">
        <v>301</v>
      </c>
      <c r="D231" s="24" t="str">
        <f>"强小涛"</f>
        <v>强小涛</v>
      </c>
      <c r="E231" s="19" t="str">
        <f>"24340020918"</f>
        <v>24340020918</v>
      </c>
      <c r="F231" s="19">
        <v>41</v>
      </c>
      <c r="G231" s="19"/>
      <c r="H231" s="23">
        <v>75.72</v>
      </c>
      <c r="I231" s="19" t="s">
        <v>33</v>
      </c>
    </row>
    <row r="232" s="3" customFormat="1" ht="30" customHeight="1" spans="1:9">
      <c r="A232" s="19" t="str">
        <f t="shared" si="2"/>
        <v>340</v>
      </c>
      <c r="B232" s="20" t="s">
        <v>339</v>
      </c>
      <c r="C232" s="21" t="s">
        <v>301</v>
      </c>
      <c r="D232" s="24" t="str">
        <f>"尹嘉仪"</f>
        <v>尹嘉仪</v>
      </c>
      <c r="E232" s="19" t="str">
        <f>"24340020920"</f>
        <v>24340020920</v>
      </c>
      <c r="F232" s="19">
        <v>27</v>
      </c>
      <c r="G232" s="19"/>
      <c r="H232" s="23">
        <v>75.7</v>
      </c>
      <c r="I232" s="19" t="s">
        <v>33</v>
      </c>
    </row>
    <row r="233" s="3" customFormat="1" ht="30" customHeight="1" spans="1:9">
      <c r="A233" s="19" t="str">
        <f t="shared" si="2"/>
        <v>340</v>
      </c>
      <c r="B233" s="20" t="s">
        <v>339</v>
      </c>
      <c r="C233" s="21" t="s">
        <v>301</v>
      </c>
      <c r="D233" s="24" t="str">
        <f>"郭文静"</f>
        <v>郭文静</v>
      </c>
      <c r="E233" s="19" t="str">
        <f>"24340020906"</f>
        <v>24340020906</v>
      </c>
      <c r="F233" s="19">
        <v>31</v>
      </c>
      <c r="G233" s="19"/>
      <c r="H233" s="23">
        <v>75.64</v>
      </c>
      <c r="I233" s="19" t="s">
        <v>33</v>
      </c>
    </row>
    <row r="234" s="3" customFormat="1" ht="30" customHeight="1" spans="1:9">
      <c r="A234" s="19" t="str">
        <f t="shared" si="2"/>
        <v>340</v>
      </c>
      <c r="B234" s="20" t="s">
        <v>339</v>
      </c>
      <c r="C234" s="21" t="s">
        <v>301</v>
      </c>
      <c r="D234" s="24" t="str">
        <f>"董晓青"</f>
        <v>董晓青</v>
      </c>
      <c r="E234" s="19" t="str">
        <f>"24340020914"</f>
        <v>24340020914</v>
      </c>
      <c r="F234" s="19">
        <v>40</v>
      </c>
      <c r="G234" s="19"/>
      <c r="H234" s="23">
        <v>74.9</v>
      </c>
      <c r="I234" s="19" t="s">
        <v>33</v>
      </c>
    </row>
    <row r="235" s="3" customFormat="1" ht="30" customHeight="1" spans="1:9">
      <c r="A235" s="19" t="str">
        <f t="shared" si="2"/>
        <v>340</v>
      </c>
      <c r="B235" s="20" t="s">
        <v>339</v>
      </c>
      <c r="C235" s="21" t="s">
        <v>301</v>
      </c>
      <c r="D235" s="24" t="str">
        <f>"王姣"</f>
        <v>王姣</v>
      </c>
      <c r="E235" s="19" t="str">
        <f>"24340021002"</f>
        <v>24340021002</v>
      </c>
      <c r="F235" s="19">
        <v>53</v>
      </c>
      <c r="G235" s="19"/>
      <c r="H235" s="19">
        <v>74.76</v>
      </c>
      <c r="I235" s="19" t="s">
        <v>33</v>
      </c>
    </row>
    <row r="236" s="3" customFormat="1" ht="30" customHeight="1" spans="1:9">
      <c r="A236" s="19" t="str">
        <f t="shared" si="2"/>
        <v>340</v>
      </c>
      <c r="B236" s="20" t="s">
        <v>339</v>
      </c>
      <c r="C236" s="21" t="s">
        <v>301</v>
      </c>
      <c r="D236" s="24" t="str">
        <f>"陈佳露"</f>
        <v>陈佳露</v>
      </c>
      <c r="E236" s="19" t="str">
        <f>"24340020916"</f>
        <v>24340020916</v>
      </c>
      <c r="F236" s="19">
        <v>48</v>
      </c>
      <c r="G236" s="19"/>
      <c r="H236" s="23">
        <v>74.48</v>
      </c>
      <c r="I236" s="19" t="s">
        <v>33</v>
      </c>
    </row>
    <row r="237" s="3" customFormat="1" ht="30" customHeight="1" spans="1:9">
      <c r="A237" s="19" t="str">
        <f t="shared" si="2"/>
        <v>340</v>
      </c>
      <c r="B237" s="20" t="s">
        <v>339</v>
      </c>
      <c r="C237" s="21" t="s">
        <v>301</v>
      </c>
      <c r="D237" s="24" t="str">
        <f>"王泓缘"</f>
        <v>王泓缘</v>
      </c>
      <c r="E237" s="19" t="str">
        <f>"24340020909"</f>
        <v>24340020909</v>
      </c>
      <c r="F237" s="22">
        <v>43</v>
      </c>
      <c r="G237" s="22"/>
      <c r="H237" s="23">
        <v>73.18</v>
      </c>
      <c r="I237" s="19" t="s">
        <v>33</v>
      </c>
    </row>
    <row r="238" s="3" customFormat="1" ht="30" customHeight="1" spans="1:9">
      <c r="A238" s="19" t="str">
        <f t="shared" si="2"/>
        <v>340</v>
      </c>
      <c r="B238" s="20" t="s">
        <v>339</v>
      </c>
      <c r="C238" s="21" t="s">
        <v>301</v>
      </c>
      <c r="D238" s="24" t="str">
        <f>"安文静"</f>
        <v>安文静</v>
      </c>
      <c r="E238" s="19" t="str">
        <f>"24340020907"</f>
        <v>24340020907</v>
      </c>
      <c r="F238" s="19">
        <v>21</v>
      </c>
      <c r="G238" s="19"/>
      <c r="H238" s="19">
        <v>70.24</v>
      </c>
      <c r="I238" s="19" t="s">
        <v>33</v>
      </c>
    </row>
    <row r="239" s="3" customFormat="1" ht="30" customHeight="1" spans="1:9">
      <c r="A239" s="19" t="str">
        <f t="shared" si="2"/>
        <v>340</v>
      </c>
      <c r="B239" s="20" t="s">
        <v>339</v>
      </c>
      <c r="C239" s="21" t="s">
        <v>301</v>
      </c>
      <c r="D239" s="24" t="str">
        <f>"杜欣园"</f>
        <v>杜欣园</v>
      </c>
      <c r="E239" s="19" t="str">
        <f>"24340020904"</f>
        <v>24340020904</v>
      </c>
      <c r="F239" s="19">
        <v>25</v>
      </c>
      <c r="G239" s="19"/>
      <c r="H239" s="25">
        <v>-1</v>
      </c>
      <c r="I239" s="19" t="s">
        <v>33</v>
      </c>
    </row>
    <row r="240" s="3" customFormat="1" ht="30" customHeight="1" spans="1:9">
      <c r="A240" s="19" t="str">
        <f t="shared" si="2"/>
        <v>340</v>
      </c>
      <c r="B240" s="20" t="s">
        <v>339</v>
      </c>
      <c r="C240" s="21" t="s">
        <v>301</v>
      </c>
      <c r="D240" s="24" t="str">
        <f>"马贝贝"</f>
        <v>马贝贝</v>
      </c>
      <c r="E240" s="19" t="str">
        <f>"24340020905"</f>
        <v>24340020905</v>
      </c>
      <c r="F240" s="19">
        <v>26</v>
      </c>
      <c r="G240" s="19"/>
      <c r="H240" s="25">
        <v>-1</v>
      </c>
      <c r="I240" s="19" t="s">
        <v>33</v>
      </c>
    </row>
    <row r="241" s="3" customFormat="1" ht="30" customHeight="1" spans="1:9">
      <c r="A241" s="19" t="str">
        <f t="shared" si="2"/>
        <v>340</v>
      </c>
      <c r="B241" s="20" t="s">
        <v>339</v>
      </c>
      <c r="C241" s="21" t="s">
        <v>301</v>
      </c>
      <c r="D241" s="24" t="str">
        <f>"刘俐宏"</f>
        <v>刘俐宏</v>
      </c>
      <c r="E241" s="19" t="str">
        <f>"24340020921"</f>
        <v>24340020921</v>
      </c>
      <c r="F241" s="19">
        <v>33</v>
      </c>
      <c r="G241" s="19"/>
      <c r="H241" s="25">
        <v>-1</v>
      </c>
      <c r="I241" s="19" t="s">
        <v>33</v>
      </c>
    </row>
    <row r="242" s="3" customFormat="1" ht="30" customHeight="1" spans="1:9">
      <c r="A242" s="19" t="str">
        <f t="shared" si="2"/>
        <v>340</v>
      </c>
      <c r="B242" s="20" t="s">
        <v>339</v>
      </c>
      <c r="C242" s="21" t="s">
        <v>301</v>
      </c>
      <c r="D242" s="24" t="str">
        <f>"周子良"</f>
        <v>周子良</v>
      </c>
      <c r="E242" s="19" t="str">
        <f>"24340020925"</f>
        <v>24340020925</v>
      </c>
      <c r="F242" s="19">
        <v>35</v>
      </c>
      <c r="G242" s="19"/>
      <c r="H242" s="25">
        <v>-1</v>
      </c>
      <c r="I242" s="19" t="s">
        <v>33</v>
      </c>
    </row>
    <row r="243" s="3" customFormat="1" ht="30" customHeight="1" spans="1:9">
      <c r="A243" s="19" t="str">
        <f t="shared" si="2"/>
        <v>340</v>
      </c>
      <c r="B243" s="20" t="s">
        <v>339</v>
      </c>
      <c r="C243" s="21" t="s">
        <v>301</v>
      </c>
      <c r="D243" s="24" t="str">
        <f>"陈鹏芳"</f>
        <v>陈鹏芳</v>
      </c>
      <c r="E243" s="19" t="str">
        <f>"24340020929"</f>
        <v>24340020929</v>
      </c>
      <c r="F243" s="19">
        <v>37</v>
      </c>
      <c r="G243" s="19"/>
      <c r="H243" s="25">
        <v>-1</v>
      </c>
      <c r="I243" s="19" t="s">
        <v>33</v>
      </c>
    </row>
    <row r="244" s="3" customFormat="1" ht="30" customHeight="1" spans="1:9">
      <c r="A244" s="19" t="str">
        <f t="shared" si="2"/>
        <v>340</v>
      </c>
      <c r="B244" s="20" t="s">
        <v>339</v>
      </c>
      <c r="C244" s="21" t="s">
        <v>301</v>
      </c>
      <c r="D244" s="24" t="str">
        <f>"张国良"</f>
        <v>张国良</v>
      </c>
      <c r="E244" s="19" t="str">
        <f>"24340021009"</f>
        <v>24340021009</v>
      </c>
      <c r="F244" s="19">
        <v>44</v>
      </c>
      <c r="G244" s="19"/>
      <c r="H244" s="25">
        <v>-1</v>
      </c>
      <c r="I244" s="19" t="s">
        <v>33</v>
      </c>
    </row>
    <row r="245" s="3" customFormat="1" ht="30" customHeight="1" spans="1:9">
      <c r="A245" s="19" t="str">
        <f t="shared" si="2"/>
        <v>340</v>
      </c>
      <c r="B245" s="20" t="s">
        <v>339</v>
      </c>
      <c r="C245" s="21" t="s">
        <v>301</v>
      </c>
      <c r="D245" s="24" t="str">
        <f>"安泽旭"</f>
        <v>安泽旭</v>
      </c>
      <c r="E245" s="19" t="str">
        <f>"24340021011"</f>
        <v>24340021011</v>
      </c>
      <c r="F245" s="19">
        <v>50</v>
      </c>
      <c r="G245" s="19"/>
      <c r="H245" s="19">
        <v>-1</v>
      </c>
      <c r="I245" s="19" t="s">
        <v>33</v>
      </c>
    </row>
    <row r="246" s="3" customFormat="1" ht="30" customHeight="1" spans="1:9">
      <c r="A246" s="37">
        <v>341</v>
      </c>
      <c r="B246" s="26" t="s">
        <v>273</v>
      </c>
      <c r="C246" s="21" t="s">
        <v>301</v>
      </c>
      <c r="D246" s="22" t="s">
        <v>340</v>
      </c>
      <c r="E246" s="19" t="s">
        <v>341</v>
      </c>
      <c r="F246" s="19">
        <v>52</v>
      </c>
      <c r="G246" s="19"/>
      <c r="H246" s="23">
        <v>77.02</v>
      </c>
      <c r="I246" s="31" t="s">
        <v>16</v>
      </c>
    </row>
    <row r="247" s="3" customFormat="1" ht="30" customHeight="1" spans="1:9">
      <c r="A247" s="37">
        <v>341</v>
      </c>
      <c r="B247" s="26" t="s">
        <v>273</v>
      </c>
      <c r="C247" s="21" t="s">
        <v>301</v>
      </c>
      <c r="D247" s="22" t="s">
        <v>342</v>
      </c>
      <c r="E247" s="19" t="s">
        <v>343</v>
      </c>
      <c r="F247" s="19">
        <v>37</v>
      </c>
      <c r="G247" s="19"/>
      <c r="H247" s="23">
        <v>76.42</v>
      </c>
      <c r="I247" s="31" t="s">
        <v>16</v>
      </c>
    </row>
    <row r="248" s="3" customFormat="1" ht="30" customHeight="1" spans="1:9">
      <c r="A248" s="37">
        <v>341</v>
      </c>
      <c r="B248" s="26" t="s">
        <v>273</v>
      </c>
      <c r="C248" s="21" t="s">
        <v>301</v>
      </c>
      <c r="D248" s="22" t="s">
        <v>344</v>
      </c>
      <c r="E248" s="19" t="s">
        <v>345</v>
      </c>
      <c r="F248" s="19">
        <v>29</v>
      </c>
      <c r="G248" s="19"/>
      <c r="H248" s="23">
        <v>76.22</v>
      </c>
      <c r="I248" s="31" t="s">
        <v>16</v>
      </c>
    </row>
    <row r="249" s="3" customFormat="1" ht="30" customHeight="1" spans="1:9">
      <c r="A249" s="37">
        <v>341</v>
      </c>
      <c r="B249" s="26" t="s">
        <v>273</v>
      </c>
      <c r="C249" s="21" t="s">
        <v>301</v>
      </c>
      <c r="D249" s="22" t="s">
        <v>346</v>
      </c>
      <c r="E249" s="19" t="s">
        <v>347</v>
      </c>
      <c r="F249" s="19">
        <v>47</v>
      </c>
      <c r="G249" s="19"/>
      <c r="H249" s="23">
        <v>75.76</v>
      </c>
      <c r="I249" s="31" t="s">
        <v>16</v>
      </c>
    </row>
    <row r="250" s="3" customFormat="1" ht="30" customHeight="1" spans="1:9">
      <c r="A250" s="37">
        <v>341</v>
      </c>
      <c r="B250" s="26" t="s">
        <v>273</v>
      </c>
      <c r="C250" s="21" t="s">
        <v>301</v>
      </c>
      <c r="D250" s="24" t="s">
        <v>348</v>
      </c>
      <c r="E250" s="19" t="s">
        <v>349</v>
      </c>
      <c r="F250" s="19">
        <v>48</v>
      </c>
      <c r="G250" s="19"/>
      <c r="H250" s="23">
        <v>75.34</v>
      </c>
      <c r="I250" s="19" t="s">
        <v>33</v>
      </c>
    </row>
    <row r="251" s="3" customFormat="1" ht="30" customHeight="1" spans="1:9">
      <c r="A251" s="37">
        <v>341</v>
      </c>
      <c r="B251" s="26" t="s">
        <v>273</v>
      </c>
      <c r="C251" s="21" t="s">
        <v>301</v>
      </c>
      <c r="D251" s="24" t="s">
        <v>350</v>
      </c>
      <c r="E251" s="19" t="s">
        <v>351</v>
      </c>
      <c r="F251" s="19">
        <v>32</v>
      </c>
      <c r="G251" s="19"/>
      <c r="H251" s="23">
        <v>74.44</v>
      </c>
      <c r="I251" s="19" t="s">
        <v>33</v>
      </c>
    </row>
    <row r="252" s="3" customFormat="1" ht="30" customHeight="1" spans="1:9">
      <c r="A252" s="37">
        <v>341</v>
      </c>
      <c r="B252" s="26" t="s">
        <v>273</v>
      </c>
      <c r="C252" s="21" t="s">
        <v>301</v>
      </c>
      <c r="D252" s="24" t="s">
        <v>352</v>
      </c>
      <c r="E252" s="19" t="s">
        <v>353</v>
      </c>
      <c r="F252" s="19">
        <v>44</v>
      </c>
      <c r="G252" s="19"/>
      <c r="H252" s="23">
        <v>74.24</v>
      </c>
      <c r="I252" s="19" t="s">
        <v>33</v>
      </c>
    </row>
    <row r="253" s="3" customFormat="1" ht="30" customHeight="1" spans="1:9">
      <c r="A253" s="37">
        <v>341</v>
      </c>
      <c r="B253" s="26" t="s">
        <v>273</v>
      </c>
      <c r="C253" s="21" t="s">
        <v>301</v>
      </c>
      <c r="D253" s="24" t="s">
        <v>354</v>
      </c>
      <c r="E253" s="19" t="s">
        <v>355</v>
      </c>
      <c r="F253" s="19">
        <v>41</v>
      </c>
      <c r="G253" s="19"/>
      <c r="H253" s="23">
        <v>73.68</v>
      </c>
      <c r="I253" s="19" t="s">
        <v>33</v>
      </c>
    </row>
    <row r="254" s="3" customFormat="1" ht="30" customHeight="1" spans="1:9">
      <c r="A254" s="37">
        <v>341</v>
      </c>
      <c r="B254" s="26" t="s">
        <v>273</v>
      </c>
      <c r="C254" s="21" t="s">
        <v>301</v>
      </c>
      <c r="D254" s="24" t="s">
        <v>356</v>
      </c>
      <c r="E254" s="19" t="s">
        <v>357</v>
      </c>
      <c r="F254" s="19">
        <v>53</v>
      </c>
      <c r="G254" s="19"/>
      <c r="H254" s="23">
        <v>70.34</v>
      </c>
      <c r="I254" s="19" t="s">
        <v>33</v>
      </c>
    </row>
    <row r="255" s="3" customFormat="1" ht="30" customHeight="1" spans="1:9">
      <c r="A255" s="37">
        <v>342</v>
      </c>
      <c r="B255" s="26" t="s">
        <v>109</v>
      </c>
      <c r="C255" s="21" t="s">
        <v>301</v>
      </c>
      <c r="D255" s="22" t="s">
        <v>358</v>
      </c>
      <c r="E255" s="19" t="s">
        <v>359</v>
      </c>
      <c r="F255" s="19">
        <v>7</v>
      </c>
      <c r="G255" s="19"/>
      <c r="H255" s="23">
        <v>74.72</v>
      </c>
      <c r="I255" s="31" t="s">
        <v>16</v>
      </c>
    </row>
    <row r="256" s="3" customFormat="1" ht="30" customHeight="1" spans="1:9">
      <c r="A256" s="37">
        <v>342</v>
      </c>
      <c r="B256" s="26" t="s">
        <v>109</v>
      </c>
      <c r="C256" s="21" t="s">
        <v>301</v>
      </c>
      <c r="D256" s="24" t="s">
        <v>360</v>
      </c>
      <c r="E256" s="19" t="s">
        <v>361</v>
      </c>
      <c r="F256" s="19">
        <v>3</v>
      </c>
      <c r="G256" s="19"/>
      <c r="H256" s="23">
        <v>74.46</v>
      </c>
      <c r="I256" s="19" t="s">
        <v>33</v>
      </c>
    </row>
    <row r="257" s="3" customFormat="1" ht="30" customHeight="1" spans="1:9">
      <c r="A257" s="37">
        <v>342</v>
      </c>
      <c r="B257" s="26" t="s">
        <v>109</v>
      </c>
      <c r="C257" s="21" t="s">
        <v>301</v>
      </c>
      <c r="D257" s="24" t="s">
        <v>362</v>
      </c>
      <c r="E257" s="19" t="s">
        <v>363</v>
      </c>
      <c r="F257" s="19">
        <v>11</v>
      </c>
      <c r="G257" s="19"/>
      <c r="H257" s="23">
        <v>74.06</v>
      </c>
      <c r="I257" s="19" t="s">
        <v>33</v>
      </c>
    </row>
    <row r="258" s="3" customFormat="1" ht="30" customHeight="1" spans="1:9">
      <c r="A258" s="37">
        <v>342</v>
      </c>
      <c r="B258" s="26" t="s">
        <v>109</v>
      </c>
      <c r="C258" s="21" t="s">
        <v>301</v>
      </c>
      <c r="D258" s="24" t="s">
        <v>364</v>
      </c>
      <c r="E258" s="19" t="s">
        <v>365</v>
      </c>
      <c r="F258" s="19">
        <v>5</v>
      </c>
      <c r="G258" s="19"/>
      <c r="H258" s="23">
        <v>73.44</v>
      </c>
      <c r="I258" s="19" t="s">
        <v>33</v>
      </c>
    </row>
    <row r="259" s="3" customFormat="1" ht="30" customHeight="1" spans="1:9">
      <c r="A259" s="37">
        <v>342</v>
      </c>
      <c r="B259" s="26" t="s">
        <v>109</v>
      </c>
      <c r="C259" s="21" t="s">
        <v>301</v>
      </c>
      <c r="D259" s="24" t="s">
        <v>366</v>
      </c>
      <c r="E259" s="19" t="s">
        <v>367</v>
      </c>
      <c r="F259" s="19">
        <v>8</v>
      </c>
      <c r="G259" s="19"/>
      <c r="H259" s="25">
        <v>-1</v>
      </c>
      <c r="I259" s="19" t="s">
        <v>33</v>
      </c>
    </row>
    <row r="260" s="3" customFormat="1" ht="30" customHeight="1" spans="1:9">
      <c r="A260" s="37">
        <v>343</v>
      </c>
      <c r="B260" s="26" t="s">
        <v>368</v>
      </c>
      <c r="C260" s="21" t="s">
        <v>301</v>
      </c>
      <c r="D260" s="22" t="s">
        <v>369</v>
      </c>
      <c r="E260" s="19" t="s">
        <v>370</v>
      </c>
      <c r="F260" s="19">
        <v>14</v>
      </c>
      <c r="G260" s="19"/>
      <c r="H260" s="23">
        <v>77.32</v>
      </c>
      <c r="I260" s="31" t="s">
        <v>16</v>
      </c>
    </row>
    <row r="261" s="3" customFormat="1" ht="30" customHeight="1" spans="1:9">
      <c r="A261" s="37">
        <v>343</v>
      </c>
      <c r="B261" s="26" t="s">
        <v>368</v>
      </c>
      <c r="C261" s="21" t="s">
        <v>301</v>
      </c>
      <c r="D261" s="22" t="s">
        <v>371</v>
      </c>
      <c r="E261" s="19" t="s">
        <v>372</v>
      </c>
      <c r="F261" s="19">
        <v>22</v>
      </c>
      <c r="G261" s="19"/>
      <c r="H261" s="23">
        <v>75.86</v>
      </c>
      <c r="I261" s="31" t="s">
        <v>16</v>
      </c>
    </row>
    <row r="262" s="3" customFormat="1" ht="30" customHeight="1" spans="1:9">
      <c r="A262" s="19" t="str">
        <f t="shared" ref="A262:A325" si="3">"344"</f>
        <v>344</v>
      </c>
      <c r="B262" s="26" t="s">
        <v>12</v>
      </c>
      <c r="C262" s="21" t="s">
        <v>301</v>
      </c>
      <c r="D262" s="22" t="str">
        <f>"牛红梅"</f>
        <v>牛红梅</v>
      </c>
      <c r="E262" s="19" t="str">
        <f>"24344021215"</f>
        <v>24344021215</v>
      </c>
      <c r="F262" s="19">
        <v>24</v>
      </c>
      <c r="G262" s="19"/>
      <c r="H262" s="23">
        <v>82.82</v>
      </c>
      <c r="I262" s="31" t="s">
        <v>16</v>
      </c>
    </row>
    <row r="263" s="3" customFormat="1" ht="30" customHeight="1" spans="1:9">
      <c r="A263" s="19" t="str">
        <f t="shared" si="3"/>
        <v>344</v>
      </c>
      <c r="B263" s="26" t="s">
        <v>12</v>
      </c>
      <c r="C263" s="21" t="s">
        <v>301</v>
      </c>
      <c r="D263" s="22" t="str">
        <f>"李蓉"</f>
        <v>李蓉</v>
      </c>
      <c r="E263" s="19" t="str">
        <f>"24344021304"</f>
        <v>24344021304</v>
      </c>
      <c r="F263" s="19">
        <v>9</v>
      </c>
      <c r="G263" s="19"/>
      <c r="H263" s="23">
        <v>82.5</v>
      </c>
      <c r="I263" s="31" t="s">
        <v>16</v>
      </c>
    </row>
    <row r="264" s="3" customFormat="1" ht="30" customHeight="1" spans="1:9">
      <c r="A264" s="19" t="str">
        <f t="shared" si="3"/>
        <v>344</v>
      </c>
      <c r="B264" s="26" t="s">
        <v>12</v>
      </c>
      <c r="C264" s="21" t="s">
        <v>301</v>
      </c>
      <c r="D264" s="22" t="str">
        <f>"杨小芳"</f>
        <v>杨小芳</v>
      </c>
      <c r="E264" s="19" t="str">
        <f>"24344021329"</f>
        <v>24344021329</v>
      </c>
      <c r="F264" s="19">
        <v>23</v>
      </c>
      <c r="G264" s="19"/>
      <c r="H264" s="23">
        <v>82.38</v>
      </c>
      <c r="I264" s="31" t="s">
        <v>16</v>
      </c>
    </row>
    <row r="265" s="3" customFormat="1" ht="30" customHeight="1" spans="1:9">
      <c r="A265" s="19" t="str">
        <f t="shared" si="3"/>
        <v>344</v>
      </c>
      <c r="B265" s="26" t="s">
        <v>12</v>
      </c>
      <c r="C265" s="21" t="s">
        <v>301</v>
      </c>
      <c r="D265" s="22" t="str">
        <f>"王玲飞"</f>
        <v>王玲飞</v>
      </c>
      <c r="E265" s="19" t="str">
        <f>"24344021326"</f>
        <v>24344021326</v>
      </c>
      <c r="F265" s="19">
        <v>37</v>
      </c>
      <c r="G265" s="19"/>
      <c r="H265" s="23">
        <v>82.36</v>
      </c>
      <c r="I265" s="31" t="s">
        <v>16</v>
      </c>
    </row>
    <row r="266" s="3" customFormat="1" ht="30" customHeight="1" spans="1:9">
      <c r="A266" s="19" t="str">
        <f t="shared" si="3"/>
        <v>344</v>
      </c>
      <c r="B266" s="26" t="s">
        <v>12</v>
      </c>
      <c r="C266" s="21" t="s">
        <v>301</v>
      </c>
      <c r="D266" s="22" t="str">
        <f>"张月梅"</f>
        <v>张月梅</v>
      </c>
      <c r="E266" s="19" t="str">
        <f>"24344021211"</f>
        <v>24344021211</v>
      </c>
      <c r="F266" s="19">
        <v>56</v>
      </c>
      <c r="G266" s="19"/>
      <c r="H266" s="23">
        <v>82.04</v>
      </c>
      <c r="I266" s="31" t="s">
        <v>16</v>
      </c>
    </row>
    <row r="267" s="3" customFormat="1" ht="30" customHeight="1" spans="1:9">
      <c r="A267" s="19" t="str">
        <f t="shared" si="3"/>
        <v>344</v>
      </c>
      <c r="B267" s="26" t="s">
        <v>12</v>
      </c>
      <c r="C267" s="21" t="s">
        <v>301</v>
      </c>
      <c r="D267" s="22" t="str">
        <f>"张柳柳"</f>
        <v>张柳柳</v>
      </c>
      <c r="E267" s="19" t="str">
        <f>"24344021120"</f>
        <v>24344021120</v>
      </c>
      <c r="F267" s="19">
        <v>71</v>
      </c>
      <c r="G267" s="19"/>
      <c r="H267" s="23">
        <v>81.88</v>
      </c>
      <c r="I267" s="31" t="s">
        <v>16</v>
      </c>
    </row>
    <row r="268" s="3" customFormat="1" ht="30" customHeight="1" spans="1:9">
      <c r="A268" s="19" t="str">
        <f t="shared" si="3"/>
        <v>344</v>
      </c>
      <c r="B268" s="26" t="s">
        <v>12</v>
      </c>
      <c r="C268" s="21" t="s">
        <v>301</v>
      </c>
      <c r="D268" s="22" t="str">
        <f>"张文博"</f>
        <v>张文博</v>
      </c>
      <c r="E268" s="19" t="str">
        <f>"24344021111"</f>
        <v>24344021111</v>
      </c>
      <c r="F268" s="19">
        <v>29</v>
      </c>
      <c r="G268" s="19"/>
      <c r="H268" s="23">
        <v>81.64</v>
      </c>
      <c r="I268" s="31" t="s">
        <v>16</v>
      </c>
    </row>
    <row r="269" s="3" customFormat="1" ht="30" customHeight="1" spans="1:9">
      <c r="A269" s="19" t="str">
        <f t="shared" si="3"/>
        <v>344</v>
      </c>
      <c r="B269" s="26" t="s">
        <v>12</v>
      </c>
      <c r="C269" s="21" t="s">
        <v>301</v>
      </c>
      <c r="D269" s="22" t="str">
        <f>"王羽琪"</f>
        <v>王羽琪</v>
      </c>
      <c r="E269" s="19" t="str">
        <f>"24344021316"</f>
        <v>24344021316</v>
      </c>
      <c r="F269" s="19">
        <v>25</v>
      </c>
      <c r="G269" s="19"/>
      <c r="H269" s="23">
        <v>81.56</v>
      </c>
      <c r="I269" s="31" t="s">
        <v>16</v>
      </c>
    </row>
    <row r="270" s="3" customFormat="1" ht="30" customHeight="1" spans="1:9">
      <c r="A270" s="19" t="str">
        <f t="shared" si="3"/>
        <v>344</v>
      </c>
      <c r="B270" s="26" t="s">
        <v>12</v>
      </c>
      <c r="C270" s="21" t="s">
        <v>301</v>
      </c>
      <c r="D270" s="22" t="str">
        <f>"王丹琪"</f>
        <v>王丹琪</v>
      </c>
      <c r="E270" s="19" t="str">
        <f>"24344021205"</f>
        <v>24344021205</v>
      </c>
      <c r="F270" s="19">
        <v>83</v>
      </c>
      <c r="G270" s="19"/>
      <c r="H270" s="23">
        <v>81.54</v>
      </c>
      <c r="I270" s="31" t="s">
        <v>16</v>
      </c>
    </row>
    <row r="271" s="3" customFormat="1" ht="30" customHeight="1" spans="1:9">
      <c r="A271" s="19" t="str">
        <f t="shared" si="3"/>
        <v>344</v>
      </c>
      <c r="B271" s="26" t="s">
        <v>12</v>
      </c>
      <c r="C271" s="21" t="s">
        <v>301</v>
      </c>
      <c r="D271" s="22" t="str">
        <f>"杜娜"</f>
        <v>杜娜</v>
      </c>
      <c r="E271" s="19" t="str">
        <f>"24344021114"</f>
        <v>24344021114</v>
      </c>
      <c r="F271" s="19">
        <v>49</v>
      </c>
      <c r="G271" s="19"/>
      <c r="H271" s="23">
        <v>81.44</v>
      </c>
      <c r="I271" s="31" t="s">
        <v>16</v>
      </c>
    </row>
    <row r="272" s="3" customFormat="1" ht="30" customHeight="1" spans="1:9">
      <c r="A272" s="19" t="str">
        <f t="shared" si="3"/>
        <v>344</v>
      </c>
      <c r="B272" s="26" t="s">
        <v>12</v>
      </c>
      <c r="C272" s="21" t="s">
        <v>301</v>
      </c>
      <c r="D272" s="22" t="str">
        <f>"苏小梅"</f>
        <v>苏小梅</v>
      </c>
      <c r="E272" s="19" t="str">
        <f>"24344021312"</f>
        <v>24344021312</v>
      </c>
      <c r="F272" s="19">
        <v>60</v>
      </c>
      <c r="G272" s="19"/>
      <c r="H272" s="23">
        <v>81.08</v>
      </c>
      <c r="I272" s="31" t="s">
        <v>16</v>
      </c>
    </row>
    <row r="273" s="3" customFormat="1" ht="30" customHeight="1" spans="1:9">
      <c r="A273" s="19" t="str">
        <f t="shared" si="3"/>
        <v>344</v>
      </c>
      <c r="B273" s="26" t="s">
        <v>12</v>
      </c>
      <c r="C273" s="21" t="s">
        <v>301</v>
      </c>
      <c r="D273" s="22" t="str">
        <f>"郝琛"</f>
        <v>郝琛</v>
      </c>
      <c r="E273" s="19" t="str">
        <f>"24344021130"</f>
        <v>24344021130</v>
      </c>
      <c r="F273" s="19">
        <v>41</v>
      </c>
      <c r="G273" s="19"/>
      <c r="H273" s="23">
        <v>80.9</v>
      </c>
      <c r="I273" s="31" t="s">
        <v>16</v>
      </c>
    </row>
    <row r="274" s="3" customFormat="1" ht="30" customHeight="1" spans="1:9">
      <c r="A274" s="19" t="str">
        <f t="shared" si="3"/>
        <v>344</v>
      </c>
      <c r="B274" s="26" t="s">
        <v>12</v>
      </c>
      <c r="C274" s="21" t="s">
        <v>301</v>
      </c>
      <c r="D274" s="22" t="str">
        <f>"胡瑞兰"</f>
        <v>胡瑞兰</v>
      </c>
      <c r="E274" s="19" t="str">
        <f>"24344021212"</f>
        <v>24344021212</v>
      </c>
      <c r="F274" s="19">
        <v>33</v>
      </c>
      <c r="G274" s="19"/>
      <c r="H274" s="23">
        <v>80.82</v>
      </c>
      <c r="I274" s="31" t="s">
        <v>16</v>
      </c>
    </row>
    <row r="275" s="3" customFormat="1" ht="30" customHeight="1" spans="1:9">
      <c r="A275" s="19" t="str">
        <f t="shared" si="3"/>
        <v>344</v>
      </c>
      <c r="B275" s="26" t="s">
        <v>12</v>
      </c>
      <c r="C275" s="21" t="s">
        <v>301</v>
      </c>
      <c r="D275" s="22" t="str">
        <f>"杨越"</f>
        <v>杨越</v>
      </c>
      <c r="E275" s="19" t="str">
        <f>"24344021225"</f>
        <v>24344021225</v>
      </c>
      <c r="F275" s="19">
        <v>12</v>
      </c>
      <c r="G275" s="19"/>
      <c r="H275" s="23">
        <v>80.36</v>
      </c>
      <c r="I275" s="31" t="s">
        <v>16</v>
      </c>
    </row>
    <row r="276" s="3" customFormat="1" ht="30" customHeight="1" spans="1:9">
      <c r="A276" s="19" t="str">
        <f t="shared" si="3"/>
        <v>344</v>
      </c>
      <c r="B276" s="26" t="s">
        <v>12</v>
      </c>
      <c r="C276" s="21" t="s">
        <v>301</v>
      </c>
      <c r="D276" s="22" t="str">
        <f>"谢买艳"</f>
        <v>谢买艳</v>
      </c>
      <c r="E276" s="19" t="str">
        <f>"24344021209"</f>
        <v>24344021209</v>
      </c>
      <c r="F276" s="19">
        <v>70</v>
      </c>
      <c r="G276" s="19"/>
      <c r="H276" s="23">
        <v>80.28</v>
      </c>
      <c r="I276" s="31" t="s">
        <v>16</v>
      </c>
    </row>
    <row r="277" s="3" customFormat="1" ht="30" customHeight="1" spans="1:9">
      <c r="A277" s="19" t="str">
        <f t="shared" si="3"/>
        <v>344</v>
      </c>
      <c r="B277" s="26" t="s">
        <v>12</v>
      </c>
      <c r="C277" s="21" t="s">
        <v>301</v>
      </c>
      <c r="D277" s="22" t="str">
        <f>"王冠"</f>
        <v>王冠</v>
      </c>
      <c r="E277" s="19" t="str">
        <f>"24344021230"</f>
        <v>24344021230</v>
      </c>
      <c r="F277" s="19">
        <v>86</v>
      </c>
      <c r="G277" s="19"/>
      <c r="H277" s="23">
        <v>80.26</v>
      </c>
      <c r="I277" s="31" t="s">
        <v>16</v>
      </c>
    </row>
    <row r="278" s="3" customFormat="1" ht="30" customHeight="1" spans="1:9">
      <c r="A278" s="19" t="str">
        <f t="shared" si="3"/>
        <v>344</v>
      </c>
      <c r="B278" s="26" t="s">
        <v>12</v>
      </c>
      <c r="C278" s="21" t="s">
        <v>301</v>
      </c>
      <c r="D278" s="22" t="str">
        <f>"雷霞"</f>
        <v>雷霞</v>
      </c>
      <c r="E278" s="19" t="str">
        <f>"24344021221"</f>
        <v>24344021221</v>
      </c>
      <c r="F278" s="19">
        <v>22</v>
      </c>
      <c r="G278" s="19"/>
      <c r="H278" s="23">
        <v>80.08</v>
      </c>
      <c r="I278" s="31" t="s">
        <v>16</v>
      </c>
    </row>
    <row r="279" s="3" customFormat="1" ht="30" customHeight="1" spans="1:9">
      <c r="A279" s="19" t="str">
        <f t="shared" si="3"/>
        <v>344</v>
      </c>
      <c r="B279" s="26" t="s">
        <v>12</v>
      </c>
      <c r="C279" s="21" t="s">
        <v>301</v>
      </c>
      <c r="D279" s="22" t="str">
        <f>"李焕"</f>
        <v>李焕</v>
      </c>
      <c r="E279" s="19" t="str">
        <f>"24344021319"</f>
        <v>24344021319</v>
      </c>
      <c r="F279" s="19">
        <v>44</v>
      </c>
      <c r="G279" s="19"/>
      <c r="H279" s="23">
        <v>79.88</v>
      </c>
      <c r="I279" s="31" t="s">
        <v>16</v>
      </c>
    </row>
    <row r="280" s="3" customFormat="1" ht="30" customHeight="1" spans="1:9">
      <c r="A280" s="19" t="str">
        <f t="shared" si="3"/>
        <v>344</v>
      </c>
      <c r="B280" s="26" t="s">
        <v>12</v>
      </c>
      <c r="C280" s="21" t="s">
        <v>301</v>
      </c>
      <c r="D280" s="22" t="str">
        <f>"晋燕"</f>
        <v>晋燕</v>
      </c>
      <c r="E280" s="19" t="str">
        <f>"24344021218"</f>
        <v>24344021218</v>
      </c>
      <c r="F280" s="19">
        <v>15</v>
      </c>
      <c r="G280" s="19"/>
      <c r="H280" s="23">
        <v>79.82</v>
      </c>
      <c r="I280" s="31" t="s">
        <v>16</v>
      </c>
    </row>
    <row r="281" s="3" customFormat="1" ht="30" customHeight="1" spans="1:9">
      <c r="A281" s="19" t="str">
        <f t="shared" si="3"/>
        <v>344</v>
      </c>
      <c r="B281" s="26" t="s">
        <v>12</v>
      </c>
      <c r="C281" s="21" t="s">
        <v>301</v>
      </c>
      <c r="D281" s="22" t="str">
        <f>"白娥"</f>
        <v>白娥</v>
      </c>
      <c r="E281" s="19" t="str">
        <f>"24344021220"</f>
        <v>24344021220</v>
      </c>
      <c r="F281" s="19">
        <v>39</v>
      </c>
      <c r="G281" s="19"/>
      <c r="H281" s="23">
        <v>79.76</v>
      </c>
      <c r="I281" s="31" t="s">
        <v>16</v>
      </c>
    </row>
    <row r="282" s="3" customFormat="1" ht="30" customHeight="1" spans="1:9">
      <c r="A282" s="19" t="str">
        <f t="shared" si="3"/>
        <v>344</v>
      </c>
      <c r="B282" s="26" t="s">
        <v>12</v>
      </c>
      <c r="C282" s="21" t="s">
        <v>301</v>
      </c>
      <c r="D282" s="22" t="str">
        <f>"刘月"</f>
        <v>刘月</v>
      </c>
      <c r="E282" s="19" t="str">
        <f>"24344021322"</f>
        <v>24344021322</v>
      </c>
      <c r="F282" s="19">
        <v>79</v>
      </c>
      <c r="G282" s="19"/>
      <c r="H282" s="23">
        <v>79.72</v>
      </c>
      <c r="I282" s="31" t="s">
        <v>16</v>
      </c>
    </row>
    <row r="283" s="3" customFormat="1" ht="30" customHeight="1" spans="1:9">
      <c r="A283" s="19" t="str">
        <f t="shared" si="3"/>
        <v>344</v>
      </c>
      <c r="B283" s="26" t="s">
        <v>12</v>
      </c>
      <c r="C283" s="21" t="s">
        <v>301</v>
      </c>
      <c r="D283" s="22" t="str">
        <f>"孙昊"</f>
        <v>孙昊</v>
      </c>
      <c r="E283" s="19" t="str">
        <f>"24344021109"</f>
        <v>24344021109</v>
      </c>
      <c r="F283" s="19">
        <v>32</v>
      </c>
      <c r="G283" s="19"/>
      <c r="H283" s="23">
        <v>79.62</v>
      </c>
      <c r="I283" s="31" t="s">
        <v>16</v>
      </c>
    </row>
    <row r="284" s="3" customFormat="1" ht="30" customHeight="1" spans="1:9">
      <c r="A284" s="19" t="str">
        <f t="shared" si="3"/>
        <v>344</v>
      </c>
      <c r="B284" s="26" t="s">
        <v>12</v>
      </c>
      <c r="C284" s="21" t="s">
        <v>301</v>
      </c>
      <c r="D284" s="22" t="str">
        <f>"李淑莉"</f>
        <v>李淑莉</v>
      </c>
      <c r="E284" s="19" t="str">
        <f>"24344021106"</f>
        <v>24344021106</v>
      </c>
      <c r="F284" s="19">
        <v>2</v>
      </c>
      <c r="G284" s="19"/>
      <c r="H284" s="23">
        <v>79.22</v>
      </c>
      <c r="I284" s="31" t="s">
        <v>16</v>
      </c>
    </row>
    <row r="285" s="3" customFormat="1" ht="30" customHeight="1" spans="1:9">
      <c r="A285" s="19" t="str">
        <f t="shared" si="3"/>
        <v>344</v>
      </c>
      <c r="B285" s="26" t="s">
        <v>12</v>
      </c>
      <c r="C285" s="21" t="s">
        <v>301</v>
      </c>
      <c r="D285" s="22" t="str">
        <f>"冯新宇"</f>
        <v>冯新宇</v>
      </c>
      <c r="E285" s="19" t="str">
        <f>"24344021207"</f>
        <v>24344021207</v>
      </c>
      <c r="F285" s="19">
        <v>8</v>
      </c>
      <c r="G285" s="19"/>
      <c r="H285" s="23">
        <v>79.18</v>
      </c>
      <c r="I285" s="31" t="s">
        <v>16</v>
      </c>
    </row>
    <row r="286" s="3" customFormat="1" ht="30" customHeight="1" spans="1:9">
      <c r="A286" s="19" t="str">
        <f t="shared" si="3"/>
        <v>344</v>
      </c>
      <c r="B286" s="26" t="s">
        <v>12</v>
      </c>
      <c r="C286" s="21" t="s">
        <v>301</v>
      </c>
      <c r="D286" s="22" t="str">
        <f>"刘艺阳"</f>
        <v>刘艺阳</v>
      </c>
      <c r="E286" s="19" t="str">
        <f>"24344021208"</f>
        <v>24344021208</v>
      </c>
      <c r="F286" s="19">
        <v>81</v>
      </c>
      <c r="G286" s="19"/>
      <c r="H286" s="23">
        <v>79.12</v>
      </c>
      <c r="I286" s="31" t="s">
        <v>16</v>
      </c>
    </row>
    <row r="287" s="3" customFormat="1" ht="30" customHeight="1" spans="1:9">
      <c r="A287" s="19" t="str">
        <f t="shared" si="3"/>
        <v>344</v>
      </c>
      <c r="B287" s="26" t="s">
        <v>12</v>
      </c>
      <c r="C287" s="21" t="s">
        <v>301</v>
      </c>
      <c r="D287" s="22" t="str">
        <f>"孟娜"</f>
        <v>孟娜</v>
      </c>
      <c r="E287" s="19" t="str">
        <f>"24344021127"</f>
        <v>24344021127</v>
      </c>
      <c r="F287" s="19">
        <v>88</v>
      </c>
      <c r="G287" s="19"/>
      <c r="H287" s="23">
        <v>79.04</v>
      </c>
      <c r="I287" s="31" t="s">
        <v>16</v>
      </c>
    </row>
    <row r="288" s="3" customFormat="1" ht="30" customHeight="1" spans="1:9">
      <c r="A288" s="19" t="str">
        <f t="shared" si="3"/>
        <v>344</v>
      </c>
      <c r="B288" s="26" t="s">
        <v>12</v>
      </c>
      <c r="C288" s="21" t="s">
        <v>301</v>
      </c>
      <c r="D288" s="22" t="str">
        <f>"牟亚静"</f>
        <v>牟亚静</v>
      </c>
      <c r="E288" s="19" t="str">
        <f>"24344021219"</f>
        <v>24344021219</v>
      </c>
      <c r="F288" s="19">
        <v>84</v>
      </c>
      <c r="G288" s="19"/>
      <c r="H288" s="23">
        <v>78.98</v>
      </c>
      <c r="I288" s="31" t="s">
        <v>16</v>
      </c>
    </row>
    <row r="289" s="3" customFormat="1" ht="30" customHeight="1" spans="1:9">
      <c r="A289" s="19" t="str">
        <f t="shared" si="3"/>
        <v>344</v>
      </c>
      <c r="B289" s="26" t="s">
        <v>12</v>
      </c>
      <c r="C289" s="21" t="s">
        <v>301</v>
      </c>
      <c r="D289" s="22" t="str">
        <f>"白敏"</f>
        <v>白敏</v>
      </c>
      <c r="E289" s="19" t="str">
        <f>"24344021325"</f>
        <v>24344021325</v>
      </c>
      <c r="F289" s="19">
        <v>62</v>
      </c>
      <c r="G289" s="19"/>
      <c r="H289" s="23">
        <v>78.98</v>
      </c>
      <c r="I289" s="31" t="s">
        <v>16</v>
      </c>
    </row>
    <row r="290" s="3" customFormat="1" ht="30" customHeight="1" spans="1:9">
      <c r="A290" s="19" t="str">
        <f t="shared" si="3"/>
        <v>344</v>
      </c>
      <c r="B290" s="26" t="s">
        <v>12</v>
      </c>
      <c r="C290" s="21" t="s">
        <v>301</v>
      </c>
      <c r="D290" s="22" t="str">
        <f>"苗卜瑗"</f>
        <v>苗卜瑗</v>
      </c>
      <c r="E290" s="19" t="str">
        <f>"24344021113"</f>
        <v>24344021113</v>
      </c>
      <c r="F290" s="19">
        <v>57</v>
      </c>
      <c r="G290" s="19"/>
      <c r="H290" s="23">
        <v>78.94</v>
      </c>
      <c r="I290" s="31" t="s">
        <v>16</v>
      </c>
    </row>
    <row r="291" s="3" customFormat="1" ht="30" customHeight="1" spans="1:9">
      <c r="A291" s="19" t="str">
        <f t="shared" si="3"/>
        <v>344</v>
      </c>
      <c r="B291" s="26" t="s">
        <v>12</v>
      </c>
      <c r="C291" s="21" t="s">
        <v>301</v>
      </c>
      <c r="D291" s="22" t="str">
        <f>"李慧"</f>
        <v>李慧</v>
      </c>
      <c r="E291" s="19" t="str">
        <f>"24344021307"</f>
        <v>24344021307</v>
      </c>
      <c r="F291" s="19">
        <v>77</v>
      </c>
      <c r="G291" s="19"/>
      <c r="H291" s="23">
        <v>78.94</v>
      </c>
      <c r="I291" s="31" t="s">
        <v>16</v>
      </c>
    </row>
    <row r="292" s="3" customFormat="1" ht="30" customHeight="1" spans="1:9">
      <c r="A292" s="19" t="str">
        <f t="shared" si="3"/>
        <v>344</v>
      </c>
      <c r="B292" s="26" t="s">
        <v>12</v>
      </c>
      <c r="C292" s="21" t="s">
        <v>301</v>
      </c>
      <c r="D292" s="22" t="str">
        <f>"刘涛"</f>
        <v>刘涛</v>
      </c>
      <c r="E292" s="19" t="str">
        <f>"24344021110"</f>
        <v>24344021110</v>
      </c>
      <c r="F292" s="19">
        <v>87</v>
      </c>
      <c r="G292" s="19"/>
      <c r="H292" s="23">
        <v>78.86</v>
      </c>
      <c r="I292" s="31" t="s">
        <v>16</v>
      </c>
    </row>
    <row r="293" s="3" customFormat="1" ht="30" customHeight="1" spans="1:9">
      <c r="A293" s="19" t="str">
        <f t="shared" si="3"/>
        <v>344</v>
      </c>
      <c r="B293" s="26" t="s">
        <v>12</v>
      </c>
      <c r="C293" s="21" t="s">
        <v>301</v>
      </c>
      <c r="D293" s="22" t="str">
        <f>"边娜"</f>
        <v>边娜</v>
      </c>
      <c r="E293" s="19" t="str">
        <f>"24344021121"</f>
        <v>24344021121</v>
      </c>
      <c r="F293" s="19">
        <v>63</v>
      </c>
      <c r="G293" s="19"/>
      <c r="H293" s="23">
        <v>78.84</v>
      </c>
      <c r="I293" s="31" t="s">
        <v>16</v>
      </c>
    </row>
    <row r="294" s="3" customFormat="1" ht="30" customHeight="1" spans="1:9">
      <c r="A294" s="19" t="str">
        <f t="shared" si="3"/>
        <v>344</v>
      </c>
      <c r="B294" s="26" t="s">
        <v>12</v>
      </c>
      <c r="C294" s="21" t="s">
        <v>301</v>
      </c>
      <c r="D294" s="22" t="str">
        <f>"杨娜"</f>
        <v>杨娜</v>
      </c>
      <c r="E294" s="19" t="str">
        <f>"24344021305"</f>
        <v>24344021305</v>
      </c>
      <c r="F294" s="19">
        <v>31</v>
      </c>
      <c r="G294" s="19"/>
      <c r="H294" s="23">
        <v>78.72</v>
      </c>
      <c r="I294" s="31" t="s">
        <v>16</v>
      </c>
    </row>
    <row r="295" s="3" customFormat="1" ht="30" customHeight="1" spans="1:9">
      <c r="A295" s="19" t="str">
        <f t="shared" si="3"/>
        <v>344</v>
      </c>
      <c r="B295" s="26" t="s">
        <v>12</v>
      </c>
      <c r="C295" s="21" t="s">
        <v>301</v>
      </c>
      <c r="D295" s="22" t="str">
        <f>"张茹"</f>
        <v>张茹</v>
      </c>
      <c r="E295" s="19" t="str">
        <f>"24344021122"</f>
        <v>24344021122</v>
      </c>
      <c r="F295" s="19">
        <v>48</v>
      </c>
      <c r="G295" s="19"/>
      <c r="H295" s="23">
        <v>78.66</v>
      </c>
      <c r="I295" s="31" t="s">
        <v>16</v>
      </c>
    </row>
    <row r="296" s="3" customFormat="1" ht="30" customHeight="1" spans="1:9">
      <c r="A296" s="19" t="str">
        <f t="shared" si="3"/>
        <v>344</v>
      </c>
      <c r="B296" s="26" t="s">
        <v>12</v>
      </c>
      <c r="C296" s="21" t="s">
        <v>301</v>
      </c>
      <c r="D296" s="22" t="str">
        <f>"杨柳"</f>
        <v>杨柳</v>
      </c>
      <c r="E296" s="19" t="str">
        <f>"24344021320"</f>
        <v>24344021320</v>
      </c>
      <c r="F296" s="19">
        <v>4</v>
      </c>
      <c r="G296" s="19"/>
      <c r="H296" s="23">
        <v>78.54</v>
      </c>
      <c r="I296" s="31" t="s">
        <v>16</v>
      </c>
    </row>
    <row r="297" s="3" customFormat="1" ht="30" customHeight="1" spans="1:9">
      <c r="A297" s="19" t="str">
        <f t="shared" si="3"/>
        <v>344</v>
      </c>
      <c r="B297" s="26" t="s">
        <v>12</v>
      </c>
      <c r="C297" s="21" t="s">
        <v>301</v>
      </c>
      <c r="D297" s="24" t="str">
        <f>"杨晓艳"</f>
        <v>杨晓艳</v>
      </c>
      <c r="E297" s="19" t="str">
        <f>"24344021327"</f>
        <v>24344021327</v>
      </c>
      <c r="F297" s="19">
        <v>30</v>
      </c>
      <c r="G297" s="19"/>
      <c r="H297" s="23">
        <v>78.5</v>
      </c>
      <c r="I297" s="19" t="s">
        <v>33</v>
      </c>
    </row>
    <row r="298" s="3" customFormat="1" ht="30" customHeight="1" spans="1:9">
      <c r="A298" s="19" t="str">
        <f t="shared" si="3"/>
        <v>344</v>
      </c>
      <c r="B298" s="26" t="s">
        <v>12</v>
      </c>
      <c r="C298" s="21" t="s">
        <v>301</v>
      </c>
      <c r="D298" s="24" t="str">
        <f>"彭雅茹"</f>
        <v>彭雅茹</v>
      </c>
      <c r="E298" s="19" t="str">
        <f>"24344021116"</f>
        <v>24344021116</v>
      </c>
      <c r="F298" s="19">
        <v>35</v>
      </c>
      <c r="G298" s="19"/>
      <c r="H298" s="23">
        <v>78.4</v>
      </c>
      <c r="I298" s="19" t="s">
        <v>33</v>
      </c>
    </row>
    <row r="299" s="3" customFormat="1" ht="30" customHeight="1" spans="1:9">
      <c r="A299" s="19" t="str">
        <f t="shared" si="3"/>
        <v>344</v>
      </c>
      <c r="B299" s="26" t="s">
        <v>12</v>
      </c>
      <c r="C299" s="21" t="s">
        <v>301</v>
      </c>
      <c r="D299" s="24" t="str">
        <f>"王慧芳"</f>
        <v>王慧芳</v>
      </c>
      <c r="E299" s="19" t="str">
        <f>"24344021201"</f>
        <v>24344021201</v>
      </c>
      <c r="F299" s="19">
        <v>74</v>
      </c>
      <c r="G299" s="19"/>
      <c r="H299" s="23">
        <v>78.32</v>
      </c>
      <c r="I299" s="19" t="s">
        <v>33</v>
      </c>
    </row>
    <row r="300" s="3" customFormat="1" ht="30" customHeight="1" spans="1:9">
      <c r="A300" s="19" t="str">
        <f t="shared" si="3"/>
        <v>344</v>
      </c>
      <c r="B300" s="26" t="s">
        <v>12</v>
      </c>
      <c r="C300" s="21" t="s">
        <v>301</v>
      </c>
      <c r="D300" s="24" t="str">
        <f>"贾远芳"</f>
        <v>贾远芳</v>
      </c>
      <c r="E300" s="19" t="str">
        <f>"24344021115"</f>
        <v>24344021115</v>
      </c>
      <c r="F300" s="19">
        <v>52</v>
      </c>
      <c r="G300" s="19"/>
      <c r="H300" s="23">
        <v>78.3</v>
      </c>
      <c r="I300" s="19" t="s">
        <v>33</v>
      </c>
    </row>
    <row r="301" s="3" customFormat="1" ht="30" customHeight="1" spans="1:9">
      <c r="A301" s="19" t="str">
        <f t="shared" si="3"/>
        <v>344</v>
      </c>
      <c r="B301" s="26" t="s">
        <v>12</v>
      </c>
      <c r="C301" s="21" t="s">
        <v>301</v>
      </c>
      <c r="D301" s="24" t="str">
        <f>"越园"</f>
        <v>越园</v>
      </c>
      <c r="E301" s="19" t="str">
        <f>"24344021324"</f>
        <v>24344021324</v>
      </c>
      <c r="F301" s="19">
        <v>7</v>
      </c>
      <c r="G301" s="19"/>
      <c r="H301" s="23">
        <v>78.14</v>
      </c>
      <c r="I301" s="19" t="s">
        <v>33</v>
      </c>
    </row>
    <row r="302" s="3" customFormat="1" ht="30" customHeight="1" spans="1:9">
      <c r="A302" s="19" t="str">
        <f t="shared" si="3"/>
        <v>344</v>
      </c>
      <c r="B302" s="26" t="s">
        <v>12</v>
      </c>
      <c r="C302" s="21" t="s">
        <v>301</v>
      </c>
      <c r="D302" s="24" t="str">
        <f>"杨露"</f>
        <v>杨露</v>
      </c>
      <c r="E302" s="19" t="str">
        <f>"24344021118"</f>
        <v>24344021118</v>
      </c>
      <c r="F302" s="19">
        <v>85</v>
      </c>
      <c r="G302" s="19"/>
      <c r="H302" s="23">
        <v>78.04</v>
      </c>
      <c r="I302" s="19" t="s">
        <v>33</v>
      </c>
    </row>
    <row r="303" s="3" customFormat="1" ht="30" customHeight="1" spans="1:9">
      <c r="A303" s="19" t="str">
        <f t="shared" si="3"/>
        <v>344</v>
      </c>
      <c r="B303" s="26" t="s">
        <v>12</v>
      </c>
      <c r="C303" s="21" t="s">
        <v>301</v>
      </c>
      <c r="D303" s="24" t="str">
        <f>"菅凤姣"</f>
        <v>菅凤姣</v>
      </c>
      <c r="E303" s="19" t="str">
        <f>"24344021128"</f>
        <v>24344021128</v>
      </c>
      <c r="F303" s="19">
        <v>65</v>
      </c>
      <c r="G303" s="19"/>
      <c r="H303" s="23">
        <v>77.86</v>
      </c>
      <c r="I303" s="19" t="s">
        <v>33</v>
      </c>
    </row>
    <row r="304" s="3" customFormat="1" ht="30" customHeight="1" spans="1:9">
      <c r="A304" s="19" t="str">
        <f t="shared" si="3"/>
        <v>344</v>
      </c>
      <c r="B304" s="26" t="s">
        <v>12</v>
      </c>
      <c r="C304" s="21" t="s">
        <v>301</v>
      </c>
      <c r="D304" s="24" t="str">
        <f>"付小青"</f>
        <v>付小青</v>
      </c>
      <c r="E304" s="19" t="str">
        <f>"24344021214"</f>
        <v>24344021214</v>
      </c>
      <c r="F304" s="19">
        <v>47</v>
      </c>
      <c r="G304" s="19"/>
      <c r="H304" s="23">
        <v>77.78</v>
      </c>
      <c r="I304" s="19" t="s">
        <v>33</v>
      </c>
    </row>
    <row r="305" s="3" customFormat="1" ht="30" customHeight="1" spans="1:9">
      <c r="A305" s="19" t="str">
        <f t="shared" si="3"/>
        <v>344</v>
      </c>
      <c r="B305" s="26" t="s">
        <v>12</v>
      </c>
      <c r="C305" s="21" t="s">
        <v>301</v>
      </c>
      <c r="D305" s="24" t="str">
        <f>"刘燕"</f>
        <v>刘燕</v>
      </c>
      <c r="E305" s="19" t="str">
        <f>"24344021318"</f>
        <v>24344021318</v>
      </c>
      <c r="F305" s="19">
        <v>75</v>
      </c>
      <c r="G305" s="19"/>
      <c r="H305" s="23">
        <v>77.78</v>
      </c>
      <c r="I305" s="19" t="s">
        <v>33</v>
      </c>
    </row>
    <row r="306" s="3" customFormat="1" ht="30" customHeight="1" spans="1:9">
      <c r="A306" s="19" t="str">
        <f t="shared" si="3"/>
        <v>344</v>
      </c>
      <c r="B306" s="26" t="s">
        <v>12</v>
      </c>
      <c r="C306" s="21" t="s">
        <v>301</v>
      </c>
      <c r="D306" s="24" t="str">
        <f>"魏兴丽"</f>
        <v>魏兴丽</v>
      </c>
      <c r="E306" s="19" t="str">
        <f>"24344021216"</f>
        <v>24344021216</v>
      </c>
      <c r="F306" s="19">
        <v>18</v>
      </c>
      <c r="G306" s="19"/>
      <c r="H306" s="23">
        <v>77.7</v>
      </c>
      <c r="I306" s="19" t="s">
        <v>33</v>
      </c>
    </row>
    <row r="307" s="3" customFormat="1" ht="30" customHeight="1" spans="1:9">
      <c r="A307" s="19" t="str">
        <f t="shared" si="3"/>
        <v>344</v>
      </c>
      <c r="B307" s="26" t="s">
        <v>12</v>
      </c>
      <c r="C307" s="21" t="s">
        <v>301</v>
      </c>
      <c r="D307" s="24" t="str">
        <f>"杨丽"</f>
        <v>杨丽</v>
      </c>
      <c r="E307" s="19" t="str">
        <f>"24344021302"</f>
        <v>24344021302</v>
      </c>
      <c r="F307" s="19">
        <v>26</v>
      </c>
      <c r="G307" s="19"/>
      <c r="H307" s="23">
        <v>77.66</v>
      </c>
      <c r="I307" s="19" t="s">
        <v>33</v>
      </c>
    </row>
    <row r="308" s="3" customFormat="1" ht="30" customHeight="1" spans="1:9">
      <c r="A308" s="19" t="str">
        <f t="shared" si="3"/>
        <v>344</v>
      </c>
      <c r="B308" s="26" t="s">
        <v>12</v>
      </c>
      <c r="C308" s="21" t="s">
        <v>301</v>
      </c>
      <c r="D308" s="24" t="str">
        <f>"杨玲"</f>
        <v>杨玲</v>
      </c>
      <c r="E308" s="19" t="str">
        <f>"24344021223"</f>
        <v>24344021223</v>
      </c>
      <c r="F308" s="19">
        <v>27</v>
      </c>
      <c r="G308" s="19"/>
      <c r="H308" s="23">
        <v>77.48</v>
      </c>
      <c r="I308" s="19" t="s">
        <v>33</v>
      </c>
    </row>
    <row r="309" s="3" customFormat="1" ht="30" customHeight="1" spans="1:9">
      <c r="A309" s="19" t="str">
        <f t="shared" si="3"/>
        <v>344</v>
      </c>
      <c r="B309" s="26" t="s">
        <v>12</v>
      </c>
      <c r="C309" s="21" t="s">
        <v>301</v>
      </c>
      <c r="D309" s="24" t="str">
        <f>"刘雅欣"</f>
        <v>刘雅欣</v>
      </c>
      <c r="E309" s="19" t="str">
        <f>"24344021203"</f>
        <v>24344021203</v>
      </c>
      <c r="F309" s="19">
        <v>61</v>
      </c>
      <c r="G309" s="19"/>
      <c r="H309" s="23">
        <v>77.36</v>
      </c>
      <c r="I309" s="19" t="s">
        <v>33</v>
      </c>
    </row>
    <row r="310" s="3" customFormat="1" ht="30" customHeight="1" spans="1:9">
      <c r="A310" s="19" t="str">
        <f t="shared" si="3"/>
        <v>344</v>
      </c>
      <c r="B310" s="26" t="s">
        <v>12</v>
      </c>
      <c r="C310" s="21" t="s">
        <v>301</v>
      </c>
      <c r="D310" s="24" t="str">
        <f>"李敏"</f>
        <v>李敏</v>
      </c>
      <c r="E310" s="19" t="str">
        <f>"24344021129"</f>
        <v>24344021129</v>
      </c>
      <c r="F310" s="19">
        <v>68</v>
      </c>
      <c r="G310" s="19"/>
      <c r="H310" s="23">
        <v>77.34</v>
      </c>
      <c r="I310" s="19" t="s">
        <v>33</v>
      </c>
    </row>
    <row r="311" s="3" customFormat="1" ht="30" customHeight="1" spans="1:9">
      <c r="A311" s="19" t="str">
        <f t="shared" si="3"/>
        <v>344</v>
      </c>
      <c r="B311" s="26" t="s">
        <v>12</v>
      </c>
      <c r="C311" s="21" t="s">
        <v>301</v>
      </c>
      <c r="D311" s="24" t="str">
        <f>"徐卓暄"</f>
        <v>徐卓暄</v>
      </c>
      <c r="E311" s="19" t="str">
        <f>"24344021310"</f>
        <v>24344021310</v>
      </c>
      <c r="F311" s="19">
        <v>78</v>
      </c>
      <c r="G311" s="19"/>
      <c r="H311" s="23">
        <v>77.34</v>
      </c>
      <c r="I311" s="19" t="s">
        <v>33</v>
      </c>
    </row>
    <row r="312" s="3" customFormat="1" ht="30" customHeight="1" spans="1:9">
      <c r="A312" s="19" t="str">
        <f t="shared" si="3"/>
        <v>344</v>
      </c>
      <c r="B312" s="26" t="s">
        <v>12</v>
      </c>
      <c r="C312" s="21" t="s">
        <v>301</v>
      </c>
      <c r="D312" s="24" t="str">
        <f>"张淑雯"</f>
        <v>张淑雯</v>
      </c>
      <c r="E312" s="19" t="str">
        <f>"24344021303"</f>
        <v>24344021303</v>
      </c>
      <c r="F312" s="19">
        <v>42</v>
      </c>
      <c r="G312" s="19"/>
      <c r="H312" s="23">
        <v>77.14</v>
      </c>
      <c r="I312" s="19" t="s">
        <v>33</v>
      </c>
    </row>
    <row r="313" s="3" customFormat="1" ht="30" customHeight="1" spans="1:9">
      <c r="A313" s="19" t="str">
        <f t="shared" si="3"/>
        <v>344</v>
      </c>
      <c r="B313" s="26" t="s">
        <v>12</v>
      </c>
      <c r="C313" s="21" t="s">
        <v>301</v>
      </c>
      <c r="D313" s="24" t="str">
        <f>"袁媛"</f>
        <v>袁媛</v>
      </c>
      <c r="E313" s="19" t="str">
        <f>"24344021227"</f>
        <v>24344021227</v>
      </c>
      <c r="F313" s="19">
        <v>58</v>
      </c>
      <c r="G313" s="19"/>
      <c r="H313" s="23">
        <v>77.08</v>
      </c>
      <c r="I313" s="19" t="s">
        <v>33</v>
      </c>
    </row>
    <row r="314" s="3" customFormat="1" ht="30" customHeight="1" spans="1:9">
      <c r="A314" s="19" t="str">
        <f t="shared" si="3"/>
        <v>344</v>
      </c>
      <c r="B314" s="26" t="s">
        <v>12</v>
      </c>
      <c r="C314" s="21" t="s">
        <v>301</v>
      </c>
      <c r="D314" s="24" t="str">
        <f>"高皎皎"</f>
        <v>高皎皎</v>
      </c>
      <c r="E314" s="19" t="str">
        <f>"24344021119"</f>
        <v>24344021119</v>
      </c>
      <c r="F314" s="19">
        <v>13</v>
      </c>
      <c r="G314" s="19"/>
      <c r="H314" s="23">
        <v>76.86</v>
      </c>
      <c r="I314" s="19" t="s">
        <v>33</v>
      </c>
    </row>
    <row r="315" s="3" customFormat="1" ht="30" customHeight="1" spans="1:9">
      <c r="A315" s="19" t="str">
        <f t="shared" si="3"/>
        <v>344</v>
      </c>
      <c r="B315" s="26" t="s">
        <v>12</v>
      </c>
      <c r="C315" s="21" t="s">
        <v>301</v>
      </c>
      <c r="D315" s="24" t="str">
        <f>"孟慧"</f>
        <v>孟慧</v>
      </c>
      <c r="E315" s="19" t="str">
        <f>"24344021202"</f>
        <v>24344021202</v>
      </c>
      <c r="F315" s="19">
        <v>82</v>
      </c>
      <c r="G315" s="19"/>
      <c r="H315" s="23">
        <v>76.86</v>
      </c>
      <c r="I315" s="19" t="s">
        <v>33</v>
      </c>
    </row>
    <row r="316" s="3" customFormat="1" ht="30" customHeight="1" spans="1:9">
      <c r="A316" s="19" t="str">
        <f t="shared" si="3"/>
        <v>344</v>
      </c>
      <c r="B316" s="26" t="s">
        <v>12</v>
      </c>
      <c r="C316" s="21" t="s">
        <v>301</v>
      </c>
      <c r="D316" s="24" t="str">
        <f>"李彦欣"</f>
        <v>李彦欣</v>
      </c>
      <c r="E316" s="19" t="str">
        <f>"24344021217"</f>
        <v>24344021217</v>
      </c>
      <c r="F316" s="19">
        <v>46</v>
      </c>
      <c r="G316" s="19"/>
      <c r="H316" s="23">
        <v>76.86</v>
      </c>
      <c r="I316" s="19" t="s">
        <v>33</v>
      </c>
    </row>
    <row r="317" s="3" customFormat="1" ht="30" customHeight="1" spans="1:9">
      <c r="A317" s="19" t="str">
        <f t="shared" si="3"/>
        <v>344</v>
      </c>
      <c r="B317" s="26" t="s">
        <v>12</v>
      </c>
      <c r="C317" s="21" t="s">
        <v>301</v>
      </c>
      <c r="D317" s="24" t="str">
        <f>"白艳艳"</f>
        <v>白艳艳</v>
      </c>
      <c r="E317" s="19" t="str">
        <f>"24344021108"</f>
        <v>24344021108</v>
      </c>
      <c r="F317" s="19">
        <v>43</v>
      </c>
      <c r="G317" s="19"/>
      <c r="H317" s="23">
        <v>76.6</v>
      </c>
      <c r="I317" s="19" t="s">
        <v>33</v>
      </c>
    </row>
    <row r="318" s="3" customFormat="1" ht="30" customHeight="1" spans="1:9">
      <c r="A318" s="19" t="str">
        <f t="shared" si="3"/>
        <v>344</v>
      </c>
      <c r="B318" s="26" t="s">
        <v>12</v>
      </c>
      <c r="C318" s="21" t="s">
        <v>301</v>
      </c>
      <c r="D318" s="24" t="str">
        <f>"张艳"</f>
        <v>张艳</v>
      </c>
      <c r="E318" s="19" t="str">
        <f>"24344021125"</f>
        <v>24344021125</v>
      </c>
      <c r="F318" s="19">
        <v>34</v>
      </c>
      <c r="G318" s="19"/>
      <c r="H318" s="23">
        <v>76.58</v>
      </c>
      <c r="I318" s="19" t="s">
        <v>33</v>
      </c>
    </row>
    <row r="319" s="3" customFormat="1" ht="30" customHeight="1" spans="1:9">
      <c r="A319" s="19" t="str">
        <f t="shared" si="3"/>
        <v>344</v>
      </c>
      <c r="B319" s="26" t="s">
        <v>12</v>
      </c>
      <c r="C319" s="21" t="s">
        <v>301</v>
      </c>
      <c r="D319" s="24" t="str">
        <f>"段宇星"</f>
        <v>段宇星</v>
      </c>
      <c r="E319" s="19" t="str">
        <f>"24344021311"</f>
        <v>24344021311</v>
      </c>
      <c r="F319" s="19">
        <v>17</v>
      </c>
      <c r="G319" s="19"/>
      <c r="H319" s="23">
        <v>76.42</v>
      </c>
      <c r="I319" s="19" t="s">
        <v>33</v>
      </c>
    </row>
    <row r="320" s="3" customFormat="1" ht="30" customHeight="1" spans="1:9">
      <c r="A320" s="19" t="str">
        <f t="shared" si="3"/>
        <v>344</v>
      </c>
      <c r="B320" s="26" t="s">
        <v>12</v>
      </c>
      <c r="C320" s="21" t="s">
        <v>301</v>
      </c>
      <c r="D320" s="24" t="str">
        <f>"李蕊"</f>
        <v>李蕊</v>
      </c>
      <c r="E320" s="19" t="str">
        <f>"24344021323"</f>
        <v>24344021323</v>
      </c>
      <c r="F320" s="19">
        <v>14</v>
      </c>
      <c r="G320" s="19"/>
      <c r="H320" s="23">
        <v>76.26</v>
      </c>
      <c r="I320" s="19" t="s">
        <v>33</v>
      </c>
    </row>
    <row r="321" s="3" customFormat="1" ht="30" customHeight="1" spans="1:9">
      <c r="A321" s="19" t="str">
        <f t="shared" si="3"/>
        <v>344</v>
      </c>
      <c r="B321" s="26" t="s">
        <v>12</v>
      </c>
      <c r="C321" s="21" t="s">
        <v>301</v>
      </c>
      <c r="D321" s="24" t="str">
        <f>"王艳霞"</f>
        <v>王艳霞</v>
      </c>
      <c r="E321" s="19" t="str">
        <f>"24344021222"</f>
        <v>24344021222</v>
      </c>
      <c r="F321" s="19">
        <v>10</v>
      </c>
      <c r="G321" s="19"/>
      <c r="H321" s="23">
        <v>76.24</v>
      </c>
      <c r="I321" s="19" t="s">
        <v>33</v>
      </c>
    </row>
    <row r="322" s="3" customFormat="1" ht="30" customHeight="1" spans="1:9">
      <c r="A322" s="19" t="str">
        <f t="shared" si="3"/>
        <v>344</v>
      </c>
      <c r="B322" s="26" t="s">
        <v>12</v>
      </c>
      <c r="C322" s="21" t="s">
        <v>301</v>
      </c>
      <c r="D322" s="24" t="str">
        <f>"高思曼"</f>
        <v>高思曼</v>
      </c>
      <c r="E322" s="19" t="str">
        <f>"24344021204"</f>
        <v>24344021204</v>
      </c>
      <c r="F322" s="19">
        <v>20</v>
      </c>
      <c r="G322" s="19"/>
      <c r="H322" s="23">
        <v>76.2</v>
      </c>
      <c r="I322" s="19" t="s">
        <v>33</v>
      </c>
    </row>
    <row r="323" s="3" customFormat="1" ht="30" customHeight="1" spans="1:9">
      <c r="A323" s="19" t="str">
        <f t="shared" si="3"/>
        <v>344</v>
      </c>
      <c r="B323" s="26" t="s">
        <v>12</v>
      </c>
      <c r="C323" s="21" t="s">
        <v>301</v>
      </c>
      <c r="D323" s="24" t="str">
        <f>"斯琴高娃"</f>
        <v>斯琴高娃</v>
      </c>
      <c r="E323" s="19" t="str">
        <f>"24344021313"</f>
        <v>24344021313</v>
      </c>
      <c r="F323" s="19">
        <v>28</v>
      </c>
      <c r="G323" s="19"/>
      <c r="H323" s="23">
        <v>76.04</v>
      </c>
      <c r="I323" s="19" t="s">
        <v>33</v>
      </c>
    </row>
    <row r="324" s="3" customFormat="1" ht="30" customHeight="1" spans="1:9">
      <c r="A324" s="19" t="str">
        <f t="shared" si="3"/>
        <v>344</v>
      </c>
      <c r="B324" s="26" t="s">
        <v>12</v>
      </c>
      <c r="C324" s="21" t="s">
        <v>301</v>
      </c>
      <c r="D324" s="24" t="str">
        <f>"张荣"</f>
        <v>张荣</v>
      </c>
      <c r="E324" s="19" t="str">
        <f>"24344021210"</f>
        <v>24344021210</v>
      </c>
      <c r="F324" s="19">
        <v>38</v>
      </c>
      <c r="G324" s="19"/>
      <c r="H324" s="23">
        <v>75.66</v>
      </c>
      <c r="I324" s="19" t="s">
        <v>33</v>
      </c>
    </row>
    <row r="325" s="3" customFormat="1" ht="30" customHeight="1" spans="1:9">
      <c r="A325" s="19" t="str">
        <f t="shared" si="3"/>
        <v>344</v>
      </c>
      <c r="B325" s="26" t="s">
        <v>12</v>
      </c>
      <c r="C325" s="21" t="s">
        <v>301</v>
      </c>
      <c r="D325" s="24" t="str">
        <f>"陈荣"</f>
        <v>陈荣</v>
      </c>
      <c r="E325" s="19" t="str">
        <f>"24344021308"</f>
        <v>24344021308</v>
      </c>
      <c r="F325" s="19">
        <v>80</v>
      </c>
      <c r="G325" s="19"/>
      <c r="H325" s="23">
        <v>75.64</v>
      </c>
      <c r="I325" s="19" t="s">
        <v>33</v>
      </c>
    </row>
    <row r="326" s="3" customFormat="1" ht="30" customHeight="1" spans="1:9">
      <c r="A326" s="19" t="str">
        <f t="shared" ref="A326:A349" si="4">"344"</f>
        <v>344</v>
      </c>
      <c r="B326" s="26" t="s">
        <v>12</v>
      </c>
      <c r="C326" s="21" t="s">
        <v>301</v>
      </c>
      <c r="D326" s="24" t="str">
        <f>"孟丽"</f>
        <v>孟丽</v>
      </c>
      <c r="E326" s="19" t="str">
        <f>"24344021314"</f>
        <v>24344021314</v>
      </c>
      <c r="F326" s="19">
        <v>76</v>
      </c>
      <c r="G326" s="19"/>
      <c r="H326" s="23">
        <v>75.56</v>
      </c>
      <c r="I326" s="19" t="s">
        <v>33</v>
      </c>
    </row>
    <row r="327" s="3" customFormat="1" ht="30" customHeight="1" spans="1:9">
      <c r="A327" s="19" t="str">
        <f t="shared" si="4"/>
        <v>344</v>
      </c>
      <c r="B327" s="26" t="s">
        <v>12</v>
      </c>
      <c r="C327" s="21" t="s">
        <v>301</v>
      </c>
      <c r="D327" s="24" t="str">
        <f>"乌仁塔娜"</f>
        <v>乌仁塔娜</v>
      </c>
      <c r="E327" s="19" t="str">
        <f>"24344021401"</f>
        <v>24344021401</v>
      </c>
      <c r="F327" s="19">
        <v>6</v>
      </c>
      <c r="G327" s="19"/>
      <c r="H327" s="23">
        <v>75.54</v>
      </c>
      <c r="I327" s="19" t="s">
        <v>33</v>
      </c>
    </row>
    <row r="328" s="3" customFormat="1" ht="30" customHeight="1" spans="1:9">
      <c r="A328" s="19" t="str">
        <f t="shared" si="4"/>
        <v>344</v>
      </c>
      <c r="B328" s="26" t="s">
        <v>12</v>
      </c>
      <c r="C328" s="21" t="s">
        <v>301</v>
      </c>
      <c r="D328" s="24" t="str">
        <f>"韩静雅"</f>
        <v>韩静雅</v>
      </c>
      <c r="E328" s="19" t="str">
        <f>"24344021330"</f>
        <v>24344021330</v>
      </c>
      <c r="F328" s="19">
        <v>19</v>
      </c>
      <c r="G328" s="19"/>
      <c r="H328" s="23">
        <v>75.3</v>
      </c>
      <c r="I328" s="19" t="s">
        <v>33</v>
      </c>
    </row>
    <row r="329" s="3" customFormat="1" ht="30" customHeight="1" spans="1:9">
      <c r="A329" s="19" t="str">
        <f t="shared" si="4"/>
        <v>344</v>
      </c>
      <c r="B329" s="26" t="s">
        <v>12</v>
      </c>
      <c r="C329" s="21" t="s">
        <v>301</v>
      </c>
      <c r="D329" s="24" t="str">
        <f>"何蓉"</f>
        <v>何蓉</v>
      </c>
      <c r="E329" s="19" t="str">
        <f>"24344021206"</f>
        <v>24344021206</v>
      </c>
      <c r="F329" s="19">
        <v>50</v>
      </c>
      <c r="G329" s="19"/>
      <c r="H329" s="23">
        <v>75.12</v>
      </c>
      <c r="I329" s="19" t="s">
        <v>33</v>
      </c>
    </row>
    <row r="330" s="3" customFormat="1" ht="30" customHeight="1" spans="1:9">
      <c r="A330" s="19" t="str">
        <f t="shared" si="4"/>
        <v>344</v>
      </c>
      <c r="B330" s="26" t="s">
        <v>12</v>
      </c>
      <c r="C330" s="21" t="s">
        <v>301</v>
      </c>
      <c r="D330" s="24" t="str">
        <f>"金晶"</f>
        <v>金晶</v>
      </c>
      <c r="E330" s="19" t="str">
        <f>"24344021226"</f>
        <v>24344021226</v>
      </c>
      <c r="F330" s="19">
        <v>40</v>
      </c>
      <c r="G330" s="19"/>
      <c r="H330" s="23">
        <v>74.98</v>
      </c>
      <c r="I330" s="19" t="s">
        <v>33</v>
      </c>
    </row>
    <row r="331" s="3" customFormat="1" ht="30" customHeight="1" spans="1:9">
      <c r="A331" s="19" t="str">
        <f t="shared" si="4"/>
        <v>344</v>
      </c>
      <c r="B331" s="26" t="s">
        <v>12</v>
      </c>
      <c r="C331" s="21" t="s">
        <v>301</v>
      </c>
      <c r="D331" s="24" t="str">
        <f>"杨婷婷"</f>
        <v>杨婷婷</v>
      </c>
      <c r="E331" s="19" t="str">
        <f>"24344021328"</f>
        <v>24344021328</v>
      </c>
      <c r="F331" s="19">
        <v>3</v>
      </c>
      <c r="G331" s="19"/>
      <c r="H331" s="23">
        <v>74.94</v>
      </c>
      <c r="I331" s="19" t="s">
        <v>33</v>
      </c>
    </row>
    <row r="332" s="3" customFormat="1" ht="30" customHeight="1" spans="1:9">
      <c r="A332" s="19" t="str">
        <f t="shared" si="4"/>
        <v>344</v>
      </c>
      <c r="B332" s="26" t="s">
        <v>12</v>
      </c>
      <c r="C332" s="21" t="s">
        <v>301</v>
      </c>
      <c r="D332" s="24" t="str">
        <f>"庄小红"</f>
        <v>庄小红</v>
      </c>
      <c r="E332" s="19" t="str">
        <f>"24344021224"</f>
        <v>24344021224</v>
      </c>
      <c r="F332" s="19">
        <v>54</v>
      </c>
      <c r="G332" s="19"/>
      <c r="H332" s="23">
        <v>74.88</v>
      </c>
      <c r="I332" s="19" t="s">
        <v>33</v>
      </c>
    </row>
    <row r="333" s="3" customFormat="1" ht="30" customHeight="1" spans="1:9">
      <c r="A333" s="19" t="str">
        <f t="shared" si="4"/>
        <v>344</v>
      </c>
      <c r="B333" s="26" t="s">
        <v>12</v>
      </c>
      <c r="C333" s="21" t="s">
        <v>301</v>
      </c>
      <c r="D333" s="24" t="str">
        <f>"塔娜"</f>
        <v>塔娜</v>
      </c>
      <c r="E333" s="19" t="str">
        <f>"24344021321"</f>
        <v>24344021321</v>
      </c>
      <c r="F333" s="19">
        <v>66</v>
      </c>
      <c r="G333" s="19"/>
      <c r="H333" s="23">
        <v>74.88</v>
      </c>
      <c r="I333" s="19" t="s">
        <v>33</v>
      </c>
    </row>
    <row r="334" s="3" customFormat="1" ht="30" customHeight="1" spans="1:9">
      <c r="A334" s="19" t="str">
        <f t="shared" si="4"/>
        <v>344</v>
      </c>
      <c r="B334" s="26" t="s">
        <v>12</v>
      </c>
      <c r="C334" s="21" t="s">
        <v>301</v>
      </c>
      <c r="D334" s="24" t="str">
        <f>"折宇新"</f>
        <v>折宇新</v>
      </c>
      <c r="E334" s="19" t="str">
        <f>"24344021213"</f>
        <v>24344021213</v>
      </c>
      <c r="F334" s="19">
        <v>64</v>
      </c>
      <c r="G334" s="19"/>
      <c r="H334" s="23">
        <v>74.54</v>
      </c>
      <c r="I334" s="19" t="s">
        <v>33</v>
      </c>
    </row>
    <row r="335" s="3" customFormat="1" ht="30" customHeight="1" spans="1:9">
      <c r="A335" s="19" t="str">
        <f t="shared" si="4"/>
        <v>344</v>
      </c>
      <c r="B335" s="26" t="s">
        <v>12</v>
      </c>
      <c r="C335" s="21" t="s">
        <v>301</v>
      </c>
      <c r="D335" s="24" t="str">
        <f>"赵雨惺"</f>
        <v>赵雨惺</v>
      </c>
      <c r="E335" s="19" t="str">
        <f>"24344021112"</f>
        <v>24344021112</v>
      </c>
      <c r="F335" s="19">
        <v>59</v>
      </c>
      <c r="G335" s="19"/>
      <c r="H335" s="23">
        <v>74.44</v>
      </c>
      <c r="I335" s="19" t="s">
        <v>33</v>
      </c>
    </row>
    <row r="336" s="3" customFormat="1" ht="30" customHeight="1" spans="1:9">
      <c r="A336" s="19" t="str">
        <f t="shared" si="4"/>
        <v>344</v>
      </c>
      <c r="B336" s="26" t="s">
        <v>12</v>
      </c>
      <c r="C336" s="21" t="s">
        <v>301</v>
      </c>
      <c r="D336" s="24" t="str">
        <f>"达妮玛"</f>
        <v>达妮玛</v>
      </c>
      <c r="E336" s="19" t="str">
        <f>"24344021104"</f>
        <v>24344021104</v>
      </c>
      <c r="F336" s="19">
        <v>21</v>
      </c>
      <c r="G336" s="19"/>
      <c r="H336" s="23">
        <v>74.2</v>
      </c>
      <c r="I336" s="19" t="s">
        <v>33</v>
      </c>
    </row>
    <row r="337" s="3" customFormat="1" ht="30" customHeight="1" spans="1:9">
      <c r="A337" s="19" t="str">
        <f t="shared" si="4"/>
        <v>344</v>
      </c>
      <c r="B337" s="26" t="s">
        <v>12</v>
      </c>
      <c r="C337" s="21" t="s">
        <v>301</v>
      </c>
      <c r="D337" s="24" t="str">
        <f>"许艳萍"</f>
        <v>许艳萍</v>
      </c>
      <c r="E337" s="19" t="str">
        <f>"24344021229"</f>
        <v>24344021229</v>
      </c>
      <c r="F337" s="19">
        <v>36</v>
      </c>
      <c r="G337" s="19"/>
      <c r="H337" s="23">
        <v>74.1</v>
      </c>
      <c r="I337" s="19" t="s">
        <v>33</v>
      </c>
    </row>
    <row r="338" s="3" customFormat="1" ht="30" customHeight="1" spans="1:9">
      <c r="A338" s="19" t="str">
        <f t="shared" si="4"/>
        <v>344</v>
      </c>
      <c r="B338" s="26" t="s">
        <v>12</v>
      </c>
      <c r="C338" s="21" t="s">
        <v>301</v>
      </c>
      <c r="D338" s="24" t="str">
        <f>"王丽荣"</f>
        <v>王丽荣</v>
      </c>
      <c r="E338" s="19" t="str">
        <f>"24344021117"</f>
        <v>24344021117</v>
      </c>
      <c r="F338" s="19">
        <v>55</v>
      </c>
      <c r="G338" s="19"/>
      <c r="H338" s="23">
        <v>73.8</v>
      </c>
      <c r="I338" s="19" t="s">
        <v>33</v>
      </c>
    </row>
    <row r="339" s="3" customFormat="1" ht="30" customHeight="1" spans="1:9">
      <c r="A339" s="19" t="str">
        <f t="shared" si="4"/>
        <v>344</v>
      </c>
      <c r="B339" s="26" t="s">
        <v>12</v>
      </c>
      <c r="C339" s="21" t="s">
        <v>301</v>
      </c>
      <c r="D339" s="24" t="str">
        <f>"祁变变"</f>
        <v>祁变变</v>
      </c>
      <c r="E339" s="19" t="str">
        <f>"24344021126"</f>
        <v>24344021126</v>
      </c>
      <c r="F339" s="19">
        <v>73</v>
      </c>
      <c r="G339" s="19"/>
      <c r="H339" s="23">
        <v>73.52</v>
      </c>
      <c r="I339" s="19" t="s">
        <v>33</v>
      </c>
    </row>
    <row r="340" s="3" customFormat="1" ht="30" customHeight="1" spans="1:9">
      <c r="A340" s="19" t="str">
        <f t="shared" si="4"/>
        <v>344</v>
      </c>
      <c r="B340" s="26" t="s">
        <v>12</v>
      </c>
      <c r="C340" s="21" t="s">
        <v>301</v>
      </c>
      <c r="D340" s="24" t="str">
        <f>"李慧"</f>
        <v>李慧</v>
      </c>
      <c r="E340" s="19" t="str">
        <f>"24344021317"</f>
        <v>24344021317</v>
      </c>
      <c r="F340" s="19">
        <v>53</v>
      </c>
      <c r="G340" s="19"/>
      <c r="H340" s="23">
        <v>73.4</v>
      </c>
      <c r="I340" s="19" t="s">
        <v>33</v>
      </c>
    </row>
    <row r="341" s="3" customFormat="1" ht="30" customHeight="1" spans="1:9">
      <c r="A341" s="19" t="str">
        <f t="shared" si="4"/>
        <v>344</v>
      </c>
      <c r="B341" s="26" t="s">
        <v>12</v>
      </c>
      <c r="C341" s="21" t="s">
        <v>301</v>
      </c>
      <c r="D341" s="24" t="str">
        <f>"李倩"</f>
        <v>李倩</v>
      </c>
      <c r="E341" s="19" t="str">
        <f>"24344021315"</f>
        <v>24344021315</v>
      </c>
      <c r="F341" s="19">
        <v>72</v>
      </c>
      <c r="G341" s="19"/>
      <c r="H341" s="23">
        <v>72.92</v>
      </c>
      <c r="I341" s="19" t="s">
        <v>33</v>
      </c>
    </row>
    <row r="342" s="3" customFormat="1" ht="30" customHeight="1" spans="1:9">
      <c r="A342" s="19" t="str">
        <f t="shared" si="4"/>
        <v>344</v>
      </c>
      <c r="B342" s="26" t="s">
        <v>12</v>
      </c>
      <c r="C342" s="21" t="s">
        <v>301</v>
      </c>
      <c r="D342" s="24" t="str">
        <f>"方静"</f>
        <v>方静</v>
      </c>
      <c r="E342" s="19" t="str">
        <f>"24344021124"</f>
        <v>24344021124</v>
      </c>
      <c r="F342" s="19">
        <v>67</v>
      </c>
      <c r="G342" s="19"/>
      <c r="H342" s="23">
        <v>72.76</v>
      </c>
      <c r="I342" s="19" t="s">
        <v>33</v>
      </c>
    </row>
    <row r="343" s="3" customFormat="1" ht="30" customHeight="1" spans="1:9">
      <c r="A343" s="19" t="str">
        <f t="shared" si="4"/>
        <v>344</v>
      </c>
      <c r="B343" s="26" t="s">
        <v>12</v>
      </c>
      <c r="C343" s="21" t="s">
        <v>301</v>
      </c>
      <c r="D343" s="24" t="str">
        <f>"刘杰"</f>
        <v>刘杰</v>
      </c>
      <c r="E343" s="19" t="str">
        <f>"24344021309"</f>
        <v>24344021309</v>
      </c>
      <c r="F343" s="19">
        <v>69</v>
      </c>
      <c r="G343" s="19"/>
      <c r="H343" s="23">
        <v>72.5</v>
      </c>
      <c r="I343" s="19" t="s">
        <v>33</v>
      </c>
    </row>
    <row r="344" s="3" customFormat="1" ht="30" customHeight="1" spans="1:9">
      <c r="A344" s="19" t="str">
        <f t="shared" si="4"/>
        <v>344</v>
      </c>
      <c r="B344" s="26" t="s">
        <v>12</v>
      </c>
      <c r="C344" s="21" t="s">
        <v>301</v>
      </c>
      <c r="D344" s="24" t="str">
        <f>"刘慧霞"</f>
        <v>刘慧霞</v>
      </c>
      <c r="E344" s="19" t="str">
        <f>"24344021107"</f>
        <v>24344021107</v>
      </c>
      <c r="F344" s="19">
        <v>51</v>
      </c>
      <c r="G344" s="19"/>
      <c r="H344" s="23">
        <v>72.28</v>
      </c>
      <c r="I344" s="19" t="s">
        <v>33</v>
      </c>
    </row>
    <row r="345" s="3" customFormat="1" ht="30" customHeight="1" spans="1:9">
      <c r="A345" s="19" t="str">
        <f t="shared" si="4"/>
        <v>344</v>
      </c>
      <c r="B345" s="26" t="s">
        <v>12</v>
      </c>
      <c r="C345" s="21" t="s">
        <v>301</v>
      </c>
      <c r="D345" s="24" t="str">
        <f>"杭晓燕"</f>
        <v>杭晓燕</v>
      </c>
      <c r="E345" s="19" t="str">
        <f>"24344021105"</f>
        <v>24344021105</v>
      </c>
      <c r="F345" s="19">
        <v>11</v>
      </c>
      <c r="G345" s="19"/>
      <c r="H345" s="23">
        <v>71.98</v>
      </c>
      <c r="I345" s="19" t="s">
        <v>33</v>
      </c>
    </row>
    <row r="346" s="3" customFormat="1" ht="30" customHeight="1" spans="1:9">
      <c r="A346" s="19" t="str">
        <f t="shared" si="4"/>
        <v>344</v>
      </c>
      <c r="B346" s="26" t="s">
        <v>12</v>
      </c>
      <c r="C346" s="21" t="s">
        <v>301</v>
      </c>
      <c r="D346" s="24" t="str">
        <f>"高丽飞"</f>
        <v>高丽飞</v>
      </c>
      <c r="E346" s="19" t="str">
        <f>"24344021402"</f>
        <v>24344021402</v>
      </c>
      <c r="F346" s="19">
        <v>5</v>
      </c>
      <c r="G346" s="19"/>
      <c r="H346" s="23">
        <v>71.84</v>
      </c>
      <c r="I346" s="19" t="s">
        <v>33</v>
      </c>
    </row>
    <row r="347" s="3" customFormat="1" ht="30" customHeight="1" spans="1:9">
      <c r="A347" s="19" t="str">
        <f t="shared" si="4"/>
        <v>344</v>
      </c>
      <c r="B347" s="26" t="s">
        <v>12</v>
      </c>
      <c r="C347" s="21" t="s">
        <v>301</v>
      </c>
      <c r="D347" s="24" t="str">
        <f>"李宝丽"</f>
        <v>李宝丽</v>
      </c>
      <c r="E347" s="19" t="str">
        <f>"24344021123"</f>
        <v>24344021123</v>
      </c>
      <c r="F347" s="19">
        <v>1</v>
      </c>
      <c r="G347" s="19"/>
      <c r="H347" s="23">
        <v>70.28</v>
      </c>
      <c r="I347" s="19" t="s">
        <v>33</v>
      </c>
    </row>
    <row r="348" s="3" customFormat="1" ht="30" customHeight="1" spans="1:9">
      <c r="A348" s="19" t="str">
        <f t="shared" si="4"/>
        <v>344</v>
      </c>
      <c r="B348" s="26" t="s">
        <v>12</v>
      </c>
      <c r="C348" s="21" t="s">
        <v>301</v>
      </c>
      <c r="D348" s="24" t="str">
        <f>"刘叶芳"</f>
        <v>刘叶芳</v>
      </c>
      <c r="E348" s="19" t="str">
        <f>"24344021228"</f>
        <v>24344021228</v>
      </c>
      <c r="F348" s="19">
        <v>45</v>
      </c>
      <c r="G348" s="19"/>
      <c r="H348" s="23">
        <v>69.64</v>
      </c>
      <c r="I348" s="19" t="s">
        <v>33</v>
      </c>
    </row>
    <row r="349" s="3" customFormat="1" ht="30" customHeight="1" spans="1:9">
      <c r="A349" s="19" t="str">
        <f t="shared" si="4"/>
        <v>344</v>
      </c>
      <c r="B349" s="26" t="s">
        <v>12</v>
      </c>
      <c r="C349" s="21" t="s">
        <v>301</v>
      </c>
      <c r="D349" s="24" t="str">
        <f>"屈娜"</f>
        <v>屈娜</v>
      </c>
      <c r="E349" s="19" t="str">
        <f>"24344021301"</f>
        <v>24344021301</v>
      </c>
      <c r="F349" s="22">
        <v>16</v>
      </c>
      <c r="G349" s="22"/>
      <c r="H349" s="25">
        <v>-1</v>
      </c>
      <c r="I349" s="19" t="s">
        <v>33</v>
      </c>
    </row>
    <row r="350" s="3" customFormat="1" ht="30" customHeight="1" spans="1:9">
      <c r="A350" s="19" t="s">
        <v>373</v>
      </c>
      <c r="B350" s="26" t="s">
        <v>374</v>
      </c>
      <c r="C350" s="21" t="s">
        <v>301</v>
      </c>
      <c r="D350" s="22" t="s">
        <v>375</v>
      </c>
      <c r="E350" s="19" t="s">
        <v>376</v>
      </c>
      <c r="F350" s="19">
        <v>19</v>
      </c>
      <c r="G350" s="19"/>
      <c r="H350" s="23">
        <v>76.38</v>
      </c>
      <c r="I350" s="31" t="s">
        <v>16</v>
      </c>
    </row>
    <row r="351" s="3" customFormat="1" ht="30" customHeight="1" spans="1:9">
      <c r="A351" s="19" t="s">
        <v>373</v>
      </c>
      <c r="B351" s="26" t="s">
        <v>374</v>
      </c>
      <c r="C351" s="21" t="s">
        <v>301</v>
      </c>
      <c r="D351" s="24" t="s">
        <v>377</v>
      </c>
      <c r="E351" s="19" t="s">
        <v>378</v>
      </c>
      <c r="F351" s="19">
        <v>15</v>
      </c>
      <c r="G351" s="19"/>
      <c r="H351" s="23">
        <v>75.38</v>
      </c>
      <c r="I351" s="19" t="s">
        <v>33</v>
      </c>
    </row>
    <row r="352" s="3" customFormat="1" ht="30" customHeight="1" spans="1:9">
      <c r="A352" s="19" t="s">
        <v>373</v>
      </c>
      <c r="B352" s="26" t="s">
        <v>374</v>
      </c>
      <c r="C352" s="21" t="s">
        <v>301</v>
      </c>
      <c r="D352" s="24" t="s">
        <v>379</v>
      </c>
      <c r="E352" s="19" t="s">
        <v>380</v>
      </c>
      <c r="F352" s="19">
        <v>18</v>
      </c>
      <c r="G352" s="19"/>
      <c r="H352" s="23">
        <v>70.48</v>
      </c>
      <c r="I352" s="19" t="s">
        <v>33</v>
      </c>
    </row>
    <row r="353" s="3" customFormat="1" ht="30" customHeight="1" spans="1:9">
      <c r="A353" s="19" t="s">
        <v>373</v>
      </c>
      <c r="B353" s="26" t="s">
        <v>374</v>
      </c>
      <c r="C353" s="21" t="s">
        <v>301</v>
      </c>
      <c r="D353" s="24" t="s">
        <v>381</v>
      </c>
      <c r="E353" s="19" t="s">
        <v>382</v>
      </c>
      <c r="F353" s="19">
        <v>13</v>
      </c>
      <c r="G353" s="19"/>
      <c r="H353" s="25">
        <v>-1</v>
      </c>
      <c r="I353" s="19" t="s">
        <v>33</v>
      </c>
    </row>
    <row r="354" s="3" customFormat="1" ht="30" customHeight="1" spans="1:9">
      <c r="A354" s="19" t="str">
        <f>"346"</f>
        <v>346</v>
      </c>
      <c r="B354" s="38" t="s">
        <v>383</v>
      </c>
      <c r="C354" s="21" t="s">
        <v>301</v>
      </c>
      <c r="D354" s="22" t="str">
        <f>"鲍宏颖"</f>
        <v>鲍宏颖</v>
      </c>
      <c r="E354" s="19" t="str">
        <f>"24346021407"</f>
        <v>24346021407</v>
      </c>
      <c r="F354" s="19">
        <v>17</v>
      </c>
      <c r="G354" s="19"/>
      <c r="H354" s="23">
        <v>75.02</v>
      </c>
      <c r="I354" s="31" t="s">
        <v>16</v>
      </c>
    </row>
    <row r="355" ht="31" customHeight="1" spans="1:3">
      <c r="A355" s="39" t="s">
        <v>384</v>
      </c>
      <c r="C355" s="40"/>
    </row>
  </sheetData>
  <autoFilter ref="A3:I355">
    <sortState ref="A3:I355">
      <sortCondition ref="B2"/>
    </sortState>
    <extLst/>
  </autoFilter>
  <sortState ref="A2:K201">
    <sortCondition ref="B2" descending="1"/>
  </sortState>
  <mergeCells count="2">
    <mergeCell ref="A1:B1"/>
    <mergeCell ref="A2:I2"/>
  </mergeCells>
  <pageMargins left="0.751388888888889" right="0.751388888888889" top="0.60625" bottom="0.60625" header="0.5" footer="0.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李瑞</cp:lastModifiedBy>
  <dcterms:created xsi:type="dcterms:W3CDTF">2024-05-18T14:57:00Z</dcterms:created>
  <dcterms:modified xsi:type="dcterms:W3CDTF">2024-05-20T06:45:35Z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9440F413CE4D47D2BC8ABE0036227822_11</vt:lpwstr>
  </property>
  <property fmtid="{D5CDD505-2E9C-101B-9397-08002B2CF9AE}" pid="3" name="KSOProductBuildVer">
    <vt:lpwstr>2052-12.1.0.16417</vt:lpwstr>
  </property>
</Properties>
</file>